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xl/revisions/revisionHeaders.xml" ContentType="application/vnd.openxmlformats-officedocument.spreadsheetml.revisionHeaders+xml"/>
  <Override PartName="/xl/revisions/revisionLog54.xml" ContentType="application/vnd.openxmlformats-officedocument.spreadsheetml.revisionLog+xml"/>
  <Override PartName="/xl/revisions/userNames.xml" ContentType="application/vnd.openxmlformats-officedocument.spreadsheetml.userNam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revisions/revisionLog13.xml" ContentType="application/vnd.openxmlformats-officedocument.spreadsheetml.revisionLog+xml"/>
  <Override PartName="/xl/revisions/revisionLog18.xml" ContentType="application/vnd.openxmlformats-officedocument.spreadsheetml.revisionLog+xml"/>
  <Override PartName="/xl/revisions/revisionLog26.xml" ContentType="application/vnd.openxmlformats-officedocument.spreadsheetml.revisionLog+xml"/>
  <Override PartName="/xl/revisions/revisionLog39.xml" ContentType="application/vnd.openxmlformats-officedocument.spreadsheetml.revisionLog+xml"/>
  <Override PartName="/xl/revisions/revisionLog3.xml" ContentType="application/vnd.openxmlformats-officedocument.spreadsheetml.revisionLog+xml"/>
  <Override PartName="/xl/revisions/revisionLog21.xml" ContentType="application/vnd.openxmlformats-officedocument.spreadsheetml.revisionLog+xml"/>
  <Override PartName="/xl/revisions/revisionLog34.xml" ContentType="application/vnd.openxmlformats-officedocument.spreadsheetml.revisionLog+xml"/>
  <Override PartName="/xl/revisions/revisionLog42.xml" ContentType="application/vnd.openxmlformats-officedocument.spreadsheetml.revisionLog+xml"/>
  <Override PartName="/xl/revisions/revisionLog47.xml" ContentType="application/vnd.openxmlformats-officedocument.spreadsheetml.revisionLog+xml"/>
  <Override PartName="/xl/revisions/revisionLog50.xml" ContentType="application/vnd.openxmlformats-officedocument.spreadsheetml.revisionLog+xml"/>
  <Override PartName="/xl/revisions/revisionLog7.xml" ContentType="application/vnd.openxmlformats-officedocument.spreadsheetml.revisionLog+xml"/>
  <Override PartName="/xl/revisions/revisionLog12.xml" ContentType="application/vnd.openxmlformats-officedocument.spreadsheetml.revisionLog+xml"/>
  <Override PartName="/xl/revisions/revisionLog17.xml" ContentType="application/vnd.openxmlformats-officedocument.spreadsheetml.revisionLog+xml"/>
  <Override PartName="/xl/revisions/revisionLog25.xml" ContentType="application/vnd.openxmlformats-officedocument.spreadsheetml.revisionLog+xml"/>
  <Override PartName="/xl/revisions/revisionLog33.xml" ContentType="application/vnd.openxmlformats-officedocument.spreadsheetml.revisionLog+xml"/>
  <Override PartName="/xl/revisions/revisionLog38.xml" ContentType="application/vnd.openxmlformats-officedocument.spreadsheetml.revisionLog+xml"/>
  <Override PartName="/xl/revisions/revisionLog46.xml" ContentType="application/vnd.openxmlformats-officedocument.spreadsheetml.revisionLog+xml"/>
  <Override PartName="/xl/revisions/revisionLog2.xml" ContentType="application/vnd.openxmlformats-officedocument.spreadsheetml.revisionLog+xml"/>
  <Override PartName="/xl/revisions/revisionLog16.xml" ContentType="application/vnd.openxmlformats-officedocument.spreadsheetml.revisionLog+xml"/>
  <Override PartName="/xl/revisions/revisionLog20.xml" ContentType="application/vnd.openxmlformats-officedocument.spreadsheetml.revisionLog+xml"/>
  <Override PartName="/xl/revisions/revisionLog29.xml" ContentType="application/vnd.openxmlformats-officedocument.spreadsheetml.revisionLog+xml"/>
  <Override PartName="/xl/revisions/revisionLog41.xml" ContentType="application/vnd.openxmlformats-officedocument.spreadsheetml.revisionLog+xml"/>
  <Override PartName="/xl/revisions/revisionLog1.xml" ContentType="application/vnd.openxmlformats-officedocument.spreadsheetml.revisionLog+xml"/>
  <Override PartName="/xl/revisions/revisionLog6.xml" ContentType="application/vnd.openxmlformats-officedocument.spreadsheetml.revisionLog+xml"/>
  <Override PartName="/xl/revisions/revisionLog11.xml" ContentType="application/vnd.openxmlformats-officedocument.spreadsheetml.revisionLog+xml"/>
  <Override PartName="/xl/revisions/revisionLog24.xml" ContentType="application/vnd.openxmlformats-officedocument.spreadsheetml.revisionLog+xml"/>
  <Override PartName="/xl/revisions/revisionLog32.xml" ContentType="application/vnd.openxmlformats-officedocument.spreadsheetml.revisionLog+xml"/>
  <Override PartName="/xl/revisions/revisionLog37.xml" ContentType="application/vnd.openxmlformats-officedocument.spreadsheetml.revisionLog+xml"/>
  <Override PartName="/xl/revisions/revisionLog40.xml" ContentType="application/vnd.openxmlformats-officedocument.spreadsheetml.revisionLog+xml"/>
  <Override PartName="/xl/revisions/revisionLog45.xml" ContentType="application/vnd.openxmlformats-officedocument.spreadsheetml.revisionLog+xml"/>
  <Override PartName="/xl/revisions/revisionLog53.xml" ContentType="application/vnd.openxmlformats-officedocument.spreadsheetml.revisionLog+xml"/>
  <Override PartName="/xl/revisions/revisionLog5.xml" ContentType="application/vnd.openxmlformats-officedocument.spreadsheetml.revisionLog+xml"/>
  <Override PartName="/xl/revisions/revisionLog15.xml" ContentType="application/vnd.openxmlformats-officedocument.spreadsheetml.revisionLog+xml"/>
  <Override PartName="/xl/revisions/revisionLog23.xml" ContentType="application/vnd.openxmlformats-officedocument.spreadsheetml.revisionLog+xml"/>
  <Override PartName="/xl/revisions/revisionLog28.xml" ContentType="application/vnd.openxmlformats-officedocument.spreadsheetml.revisionLog+xml"/>
  <Override PartName="/xl/revisions/revisionLog36.xml" ContentType="application/vnd.openxmlformats-officedocument.spreadsheetml.revisionLog+xml"/>
  <Override PartName="/xl/revisions/revisionLog49.xml" ContentType="application/vnd.openxmlformats-officedocument.spreadsheetml.revisionLog+xml"/>
  <Override PartName="/xl/revisions/revisionLog10.xml" ContentType="application/vnd.openxmlformats-officedocument.spreadsheetml.revisionLog+xml"/>
  <Override PartName="/xl/revisions/revisionLog19.xml" ContentType="application/vnd.openxmlformats-officedocument.spreadsheetml.revisionLog+xml"/>
  <Override PartName="/xl/revisions/revisionLog31.xml" ContentType="application/vnd.openxmlformats-officedocument.spreadsheetml.revisionLog+xml"/>
  <Override PartName="/xl/revisions/revisionLog44.xml" ContentType="application/vnd.openxmlformats-officedocument.spreadsheetml.revisionLog+xml"/>
  <Override PartName="/xl/revisions/revisionLog52.xml" ContentType="application/vnd.openxmlformats-officedocument.spreadsheetml.revisionLog+xml"/>
  <Override PartName="/xl/revisions/revisionLog4.xml" ContentType="application/vnd.openxmlformats-officedocument.spreadsheetml.revisionLog+xml"/>
  <Override PartName="/xl/revisions/revisionLog9.xml" ContentType="application/vnd.openxmlformats-officedocument.spreadsheetml.revisionLog+xml"/>
  <Override PartName="/xl/revisions/revisionLog14.xml" ContentType="application/vnd.openxmlformats-officedocument.spreadsheetml.revisionLog+xml"/>
  <Override PartName="/xl/revisions/revisionLog22.xml" ContentType="application/vnd.openxmlformats-officedocument.spreadsheetml.revisionLog+xml"/>
  <Override PartName="/xl/revisions/revisionLog27.xml" ContentType="application/vnd.openxmlformats-officedocument.spreadsheetml.revisionLog+xml"/>
  <Override PartName="/xl/revisions/revisionLog30.xml" ContentType="application/vnd.openxmlformats-officedocument.spreadsheetml.revisionLog+xml"/>
  <Override PartName="/xl/revisions/revisionLog35.xml" ContentType="application/vnd.openxmlformats-officedocument.spreadsheetml.revisionLog+xml"/>
  <Override PartName="/xl/revisions/revisionLog43.xml" ContentType="application/vnd.openxmlformats-officedocument.spreadsheetml.revisionLog+xml"/>
  <Override PartName="/xl/revisions/revisionLog48.xml" ContentType="application/vnd.openxmlformats-officedocument.spreadsheetml.revisionLog+xml"/>
  <Override PartName="/xl/revisions/revisionLog8.xml" ContentType="application/vnd.openxmlformats-officedocument.spreadsheetml.revisionLog+xml"/>
  <Override PartName="/xl/revisions/revisionLog51.xml" ContentType="application/vnd.openxmlformats-officedocument.spreadsheetml.revisionLog+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F:\DCFPI\"/>
    </mc:Choice>
  </mc:AlternateContent>
  <bookViews>
    <workbookView xWindow="0" yWindow="0" windowWidth="28800" windowHeight="12435" tabRatio="866" firstSheet="3" activeTab="4"/>
  </bookViews>
  <sheets>
    <sheet name="Guide" sheetId="1" r:id="rId1"/>
    <sheet name="FY2016 by Approp Title" sheetId="2" r:id="rId2"/>
    <sheet name="FY2016 By Approp Title-Adj" sheetId="3" r:id="rId3"/>
    <sheet name="FY 2016 by Agency" sheetId="4" r:id="rId4"/>
    <sheet name="FY 2016 by Agency-Adj" sheetId="5" r:id="rId5"/>
    <sheet name="Inflator" sheetId="6" r:id="rId6"/>
    <sheet name="FY 16 Budget Shifts" sheetId="7" r:id="rId7"/>
    <sheet name="Sheet1" sheetId="8" r:id="rId8"/>
    <sheet name="Sheet 2" sheetId="9" r:id="rId9"/>
    <sheet name="Sheet 4" sheetId="10" r:id="rId10"/>
    <sheet name="Sheet 5" sheetId="11" r:id="rId11"/>
    <sheet name="Sheet 6" sheetId="12" r:id="rId12"/>
    <sheet name="Sheet 7" sheetId="13" r:id="rId13"/>
  </sheets>
  <definedNames>
    <definedName name="Z_08B0A6E6_0C62_4331_9E9A_05DFF5B8DF5B_.wvu.Cols" localSheetId="3" hidden="1">'FY 2016 by Agency'!$D:$E,'FY 2016 by Agency'!$G:$H,'FY 2016 by Agency'!$J:$K,'FY 2016 by Agency'!$M:$N,'FY 2016 by Agency'!$P:$Q,'FY 2016 by Agency'!$S:$T,'FY 2016 by Agency'!$V:$W,'FY 2016 by Agency'!$Y:$Z,'FY 2016 by Agency'!$AB:$AE,'FY 2016 by Agency'!$AG:$BA,'FY 2016 by Agency'!$BC:$BD,'FY 2016 by Agency'!$BF:$BW,'FY 2016 by Agency'!$CC:$CC</definedName>
    <definedName name="Z_08B0A6E6_0C62_4331_9E9A_05DFF5B8DF5B_.wvu.Cols" localSheetId="4" hidden="1">'FY 2016 by Agency-Adj'!$AD:$AE,'FY 2016 by Agency-Adj'!$AI:$BK,'FY 2016 by Agency-Adj'!$BO:$BQ,'FY 2016 by Agency-Adj'!$BU:$BX</definedName>
    <definedName name="Z_08B0A6E6_0C62_4331_9E9A_05DFF5B8DF5B_.wvu.Rows" localSheetId="3" hidden="1">'FY 2016 by Agency'!$240:$254</definedName>
    <definedName name="Z_08B0A6E6_0C62_4331_9E9A_05DFF5B8DF5B_.wvu.Rows" localSheetId="4" hidden="1">'FY 2016 by Agency-Adj'!$237:$252</definedName>
    <definedName name="Z_1E5198E1_BA46_4CE0_8628_4F695B0D7A3B_.wvu.Cols" localSheetId="1" hidden="1">'FY2016 by Approp Title'!#REF!</definedName>
    <definedName name="Z_1E5198E1_BA46_4CE0_8628_4F695B0D7A3B_.wvu.Cols" localSheetId="2" hidden="1">'FY2016 By Approp Title-Adj'!#REF!</definedName>
    <definedName name="Z_1E5198E1_BA46_4CE0_8628_4F695B0D7A3B_.wvu.Rows" localSheetId="3" hidden="1">'FY 2016 by Agency'!$1:$3,'FY 2016 by Agency'!$240:$254</definedName>
    <definedName name="Z_1E5198E1_BA46_4CE0_8628_4F695B0D7A3B_.wvu.Rows" localSheetId="4" hidden="1">'FY 2016 by Agency-Adj'!$1:$3,'FY 2016 by Agency-Adj'!$237:$251</definedName>
    <definedName name="Z_1E5198E1_BA46_4CE0_8628_4F695B0D7A3B_.wvu.Rows" localSheetId="9" hidden="1">'Sheet 4'!$1:$6</definedName>
    <definedName name="Z_1E5198E1_BA46_4CE0_8628_4F695B0D7A3B_.wvu.Rows" localSheetId="10" hidden="1">'Sheet 5'!#REF!,'Sheet 5'!#REF!</definedName>
    <definedName name="Z_1E5198E1_BA46_4CE0_8628_4F695B0D7A3B_.wvu.Rows" localSheetId="11" hidden="1">'Sheet 6'!#REF!</definedName>
    <definedName name="Z_34052DE1_5E82_4B7C_8FA6_8E533676FB0A_.wvu.Cols" localSheetId="3" hidden="1">'FY 2016 by Agency'!$Y:$Z,'FY 2016 by Agency'!$AB:$AE,'FY 2016 by Agency'!$AG:$BA,'FY 2016 by Agency'!$BC:$BD,'FY 2016 by Agency'!$BF:$BW</definedName>
    <definedName name="Z_34052DE1_5E82_4B7C_8FA6_8E533676FB0A_.wvu.Rows" localSheetId="3" hidden="1">'FY 2016 by Agency'!$240:$254</definedName>
    <definedName name="Z_455630F5_40FC_47DB_8AD4_712C20B8FB91_.wvu.Cols" localSheetId="3" hidden="1">'FY 2016 by Agency'!$D:$E,'FY 2016 by Agency'!$G:$H,'FY 2016 by Agency'!$J:$K,'FY 2016 by Agency'!$M:$N,'FY 2016 by Agency'!$P:$Q,'FY 2016 by Agency'!$S:$T,'FY 2016 by Agency'!$V:$W,'FY 2016 by Agency'!$Y:$Z,'FY 2016 by Agency'!$AB:$AE,'FY 2016 by Agency'!$AG:$AO,'FY 2016 by Agency'!$AV:$AW,'FY 2016 by Agency'!$AY:$AZ,'FY 2016 by Agency'!$BF:$BG</definedName>
    <definedName name="Z_455630F5_40FC_47DB_8AD4_712C20B8FB91_.wvu.Cols" localSheetId="4" hidden="1">'FY 2016 by Agency-Adj'!$AD:$AE,'FY 2016 by Agency-Adj'!$AI:$BK</definedName>
    <definedName name="Z_455630F5_40FC_47DB_8AD4_712C20B8FB91_.wvu.Cols" localSheetId="1" hidden="1">'FY2016 by Approp Title'!#REF!</definedName>
    <definedName name="Z_455630F5_40FC_47DB_8AD4_712C20B8FB91_.wvu.Cols" localSheetId="2" hidden="1">'FY2016 By Approp Title-Adj'!#REF!</definedName>
    <definedName name="Z_455630F5_40FC_47DB_8AD4_712C20B8FB91_.wvu.Rows" localSheetId="3" hidden="1">'FY 2016 by Agency'!$1:$3,'FY 2016 by Agency'!$240:$254</definedName>
    <definedName name="Z_455630F5_40FC_47DB_8AD4_712C20B8FB91_.wvu.Rows" localSheetId="4" hidden="1">'FY 2016 by Agency-Adj'!$1:$3,'FY 2016 by Agency-Adj'!$14:$14,'FY 2016 by Agency-Adj'!$19:$19,'FY 2016 by Agency-Adj'!$165:$165,'FY 2016 by Agency-Adj'!$172:$172,'FY 2016 by Agency-Adj'!$237:$251</definedName>
    <definedName name="Z_455630F5_40FC_47DB_8AD4_712C20B8FB91_.wvu.Rows" localSheetId="9" hidden="1">'Sheet 4'!$1:$6</definedName>
    <definedName name="Z_5102CD51_6323_4C0C_991F_AF8276ECBB13_.wvu.Cols" localSheetId="3" hidden="1">'FY 2016 by Agency'!$D:$E,'FY 2016 by Agency'!$G:$H,'FY 2016 by Agency'!$J:$K,'FY 2016 by Agency'!$M:$N,'FY 2016 by Agency'!$P:$Q,'FY 2016 by Agency'!$S:$T,'FY 2016 by Agency'!$V:$W,'FY 2016 by Agency'!$Y:$Z,'FY 2016 by Agency'!$AB:$AE,'FY 2016 by Agency'!$AG:$BA,'FY 2016 by Agency'!$BC:$BD,'FY 2016 by Agency'!$BF:$BW,'FY 2016 by Agency'!$CC:$CC</definedName>
    <definedName name="Z_5102CD51_6323_4C0C_991F_AF8276ECBB13_.wvu.Cols" localSheetId="4" hidden="1">'FY 2016 by Agency-Adj'!$AD:$AE,'FY 2016 by Agency-Adj'!$AI:$BK,'FY 2016 by Agency-Adj'!$BO:$BQ,'FY 2016 by Agency-Adj'!$BU:$BX</definedName>
    <definedName name="Z_5102CD51_6323_4C0C_991F_AF8276ECBB13_.wvu.Rows" localSheetId="3" hidden="1">'FY 2016 by Agency'!$240:$254</definedName>
    <definedName name="Z_5102CD51_6323_4C0C_991F_AF8276ECBB13_.wvu.Rows" localSheetId="4" hidden="1">'FY 2016 by Agency-Adj'!$237:$252</definedName>
    <definedName name="Z_567C3053_2D8E_4705_8DC7_18896C5303CA_.wvu.Cols" localSheetId="3" hidden="1">'FY 2016 by Agency'!$BQ:$BQ</definedName>
    <definedName name="Z_567C3053_2D8E_4705_8DC7_18896C5303CA_.wvu.Cols" localSheetId="4" hidden="1">'FY 2016 by Agency-Adj'!$AJ:$AM,'FY 2016 by Agency-Adj'!$AP:$AS,'FY 2016 by Agency-Adj'!$BX:$BX</definedName>
    <definedName name="Z_567C3053_2D8E_4705_8DC7_18896C5303CA_.wvu.Cols" localSheetId="1" hidden="1">'FY2016 by Approp Title'!#REF!</definedName>
    <definedName name="Z_567C3053_2D8E_4705_8DC7_18896C5303CA_.wvu.Cols" localSheetId="2" hidden="1">'FY2016 By Approp Title-Adj'!#REF!</definedName>
    <definedName name="Z_567C3053_2D8E_4705_8DC7_18896C5303CA_.wvu.Rows" localSheetId="3" hidden="1">'FY 2016 by Agency'!$1:$3,'FY 2016 by Agency'!$240:$254</definedName>
    <definedName name="Z_567C3053_2D8E_4705_8DC7_18896C5303CA_.wvu.Rows" localSheetId="4" hidden="1">'FY 2016 by Agency-Adj'!$1:$3,'FY 2016 by Agency-Adj'!$237:$251</definedName>
    <definedName name="Z_567C3053_2D8E_4705_8DC7_18896C5303CA_.wvu.Rows" localSheetId="9" hidden="1">'Sheet 4'!$1:$6</definedName>
    <definedName name="Z_70E2A0B1_0EA6_43AE_8715_395179465BE5_.wvu.Cols" localSheetId="3" hidden="1">'FY 2016 by Agency'!$Y:$Z,'FY 2016 by Agency'!$AB:$AE,'FY 2016 by Agency'!$AG:$BA,'FY 2016 by Agency'!$BC:$BD,'FY 2016 by Agency'!$BF:$BW</definedName>
    <definedName name="Z_70E2A0B1_0EA6_43AE_8715_395179465BE5_.wvu.Cols" localSheetId="4" hidden="1">'FY 2016 by Agency-Adj'!$AI:$BK,'FY 2016 by Agency-Adj'!$BO:$BQ,'FY 2016 by Agency-Adj'!$BU:$BX</definedName>
    <definedName name="Z_70E2A0B1_0EA6_43AE_8715_395179465BE5_.wvu.Rows" localSheetId="3" hidden="1">'FY 2016 by Agency'!$240:$254</definedName>
    <definedName name="Z_70E2A0B1_0EA6_43AE_8715_395179465BE5_.wvu.Rows" localSheetId="4" hidden="1">'FY 2016 by Agency-Adj'!$237:$252</definedName>
    <definedName name="Z_78CA186D_B240_44D5_8A24_D241DE0B0FD9_.wvu.Cols" localSheetId="3" hidden="1">'FY 2016 by Agency'!$D:$E,'FY 2016 by Agency'!$G:$H,'FY 2016 by Agency'!$J:$K,'FY 2016 by Agency'!$M:$N,'FY 2016 by Agency'!$P:$Q,'FY 2016 by Agency'!$S:$T,'FY 2016 by Agency'!$V:$W,'FY 2016 by Agency'!$Y:$Z,'FY 2016 by Agency'!$AB:$AE,'FY 2016 by Agency'!$AG:$BA,'FY 2016 by Agency'!$BC:$BD,'FY 2016 by Agency'!$BF:$BW,'FY 2016 by Agency'!$CC:$CC</definedName>
    <definedName name="Z_78CA186D_B240_44D5_8A24_D241DE0B0FD9_.wvu.Cols" localSheetId="4" hidden="1">'FY 2016 by Agency-Adj'!$AD:$AE,'FY 2016 by Agency-Adj'!$AI:$BK,'FY 2016 by Agency-Adj'!$BO:$BQ,'FY 2016 by Agency-Adj'!$BU:$BX</definedName>
    <definedName name="Z_78CA186D_B240_44D5_8A24_D241DE0B0FD9_.wvu.Rows" localSheetId="3" hidden="1">'FY 2016 by Agency'!$240:$254</definedName>
    <definedName name="Z_78CA186D_B240_44D5_8A24_D241DE0B0FD9_.wvu.Rows" localSheetId="4" hidden="1">'FY 2016 by Agency-Adj'!$237:$252</definedName>
    <definedName name="Z_7A9890A5_7CC2_466F_AA52_39E8D428DC1C_.wvu.Cols" localSheetId="3" hidden="1">'FY 2016 by Agency'!$BQ:$BQ</definedName>
    <definedName name="Z_7A9890A5_7CC2_466F_AA52_39E8D428DC1C_.wvu.Cols" localSheetId="4" hidden="1">'FY 2016 by Agency-Adj'!$AJ:$AM,'FY 2016 by Agency-Adj'!$AP:$AS,'FY 2016 by Agency-Adj'!$BX:$BX</definedName>
    <definedName name="Z_7A9890A5_7CC2_466F_AA52_39E8D428DC1C_.wvu.Cols" localSheetId="1" hidden="1">'FY2016 by Approp Title'!#REF!</definedName>
    <definedName name="Z_7A9890A5_7CC2_466F_AA52_39E8D428DC1C_.wvu.Cols" localSheetId="2" hidden="1">'FY2016 By Approp Title-Adj'!#REF!</definedName>
    <definedName name="Z_7A9890A5_7CC2_466F_AA52_39E8D428DC1C_.wvu.Rows" localSheetId="3" hidden="1">'FY 2016 by Agency'!$1:$3,'FY 2016 by Agency'!$240:$254</definedName>
    <definedName name="Z_7A9890A5_7CC2_466F_AA52_39E8D428DC1C_.wvu.Rows" localSheetId="4" hidden="1">'FY 2016 by Agency-Adj'!$1:$3,'FY 2016 by Agency-Adj'!$237:$251</definedName>
    <definedName name="Z_7A9890A5_7CC2_466F_AA52_39E8D428DC1C_.wvu.Rows" localSheetId="9" hidden="1">'Sheet 4'!$1:$6</definedName>
    <definedName name="Z_8F508F4D_4777_42BE_9707_8CB9355F7BDB_.wvu.Cols" localSheetId="4" hidden="1">'FY 2016 by Agency-Adj'!$V:$AB,'FY 2016 by Agency-Adj'!$AJ:$AM</definedName>
    <definedName name="Z_8F508F4D_4777_42BE_9707_8CB9355F7BDB_.wvu.Cols" localSheetId="1" hidden="1">'FY2016 by Approp Title'!#REF!</definedName>
    <definedName name="Z_8F508F4D_4777_42BE_9707_8CB9355F7BDB_.wvu.Cols" localSheetId="2" hidden="1">'FY2016 By Approp Title-Adj'!#REF!</definedName>
    <definedName name="Z_8F508F4D_4777_42BE_9707_8CB9355F7BDB_.wvu.Rows" localSheetId="3" hidden="1">'FY 2016 by Agency'!$1:$3,'FY 2016 by Agency'!$240:$254</definedName>
    <definedName name="Z_8F508F4D_4777_42BE_9707_8CB9355F7BDB_.wvu.Rows" localSheetId="4" hidden="1">'FY 2016 by Agency-Adj'!$1:$3,'FY 2016 by Agency-Adj'!$237:$251</definedName>
    <definedName name="Z_8F508F4D_4777_42BE_9707_8CB9355F7BDB_.wvu.Rows" localSheetId="9" hidden="1">'Sheet 4'!$1:$6</definedName>
    <definedName name="Z_8F508F4D_4777_42BE_9707_8CB9355F7BDB_.wvu.Rows" localSheetId="10" hidden="1">'Sheet 5'!#REF!,'Sheet 5'!#REF!</definedName>
    <definedName name="Z_8F508F4D_4777_42BE_9707_8CB9355F7BDB_.wvu.Rows" localSheetId="11" hidden="1">'Sheet 6'!#REF!</definedName>
    <definedName name="Z_94DA13B6_7351_40F3_8CF7_A4211EC439DA_.wvu.Cols" localSheetId="4" hidden="1">'FY 2016 by Agency-Adj'!$V:$AB,'FY 2016 by Agency-Adj'!$AJ:$AM,'FY 2016 by Agency-Adj'!$AP:$AS</definedName>
    <definedName name="Z_94DA13B6_7351_40F3_8CF7_A4211EC439DA_.wvu.Cols" localSheetId="1" hidden="1">'FY2016 by Approp Title'!#REF!</definedName>
    <definedName name="Z_94DA13B6_7351_40F3_8CF7_A4211EC439DA_.wvu.Cols" localSheetId="2" hidden="1">'FY2016 By Approp Title-Adj'!#REF!</definedName>
    <definedName name="Z_94DA13B6_7351_40F3_8CF7_A4211EC439DA_.wvu.Rows" localSheetId="3" hidden="1">'FY 2016 by Agency'!$1:$3,'FY 2016 by Agency'!$240:$254</definedName>
    <definedName name="Z_94DA13B6_7351_40F3_8CF7_A4211EC439DA_.wvu.Rows" localSheetId="4" hidden="1">'FY 2016 by Agency-Adj'!$1:$3,'FY 2016 by Agency-Adj'!$237:$251</definedName>
    <definedName name="Z_94DA13B6_7351_40F3_8CF7_A4211EC439DA_.wvu.Rows" localSheetId="9" hidden="1">'Sheet 4'!$1:$6</definedName>
    <definedName name="Z_94DA13B6_7351_40F3_8CF7_A4211EC439DA_.wvu.Rows" localSheetId="10" hidden="1">'Sheet 5'!#REF!,'Sheet 5'!#REF!</definedName>
    <definedName name="Z_94DA13B6_7351_40F3_8CF7_A4211EC439DA_.wvu.Rows" localSheetId="11" hidden="1">'Sheet 6'!#REF!</definedName>
    <definedName name="Z_9D4F0482_B164_4671_805A_E0D2D4DD4720_.wvu.Cols" localSheetId="3" hidden="1">'FY 2016 by Agency'!$AI:$AW</definedName>
    <definedName name="Z_9D4F0482_B164_4671_805A_E0D2D4DD4720_.wvu.Cols" localSheetId="4" hidden="1">'FY 2016 by Agency-Adj'!$AD:$AE,'FY 2016 by Agency-Adj'!$AI:$BJ</definedName>
    <definedName name="Z_9D4F0482_B164_4671_805A_E0D2D4DD4720_.wvu.Cols" localSheetId="1" hidden="1">'FY2016 by Approp Title'!#REF!</definedName>
    <definedName name="Z_9D4F0482_B164_4671_805A_E0D2D4DD4720_.wvu.Cols" localSheetId="2" hidden="1">'FY2016 By Approp Title-Adj'!#REF!</definedName>
    <definedName name="Z_9D4F0482_B164_4671_805A_E0D2D4DD4720_.wvu.Rows" localSheetId="3" hidden="1">'FY 2016 by Agency'!$1:$3,'FY 2016 by Agency'!$240:$254</definedName>
    <definedName name="Z_9D4F0482_B164_4671_805A_E0D2D4DD4720_.wvu.Rows" localSheetId="4" hidden="1">'FY 2016 by Agency-Adj'!$1:$3,'FY 2016 by Agency-Adj'!$14:$14,'FY 2016 by Agency-Adj'!$19:$19,'FY 2016 by Agency-Adj'!$157:$157,'FY 2016 by Agency-Adj'!$165:$165,'FY 2016 by Agency-Adj'!$172:$172,'FY 2016 by Agency-Adj'!$237:$251</definedName>
    <definedName name="Z_9D4F0482_B164_4671_805A_E0D2D4DD4720_.wvu.Rows" localSheetId="9" hidden="1">'Sheet 4'!$1:$6</definedName>
    <definedName name="Z_CBA65C9F_528B_4CA5_AFDD_C38CD40775BB_.wvu.Cols" localSheetId="4" hidden="1">'FY 2016 by Agency-Adj'!$AJ:$AM</definedName>
    <definedName name="Z_CBA65C9F_528B_4CA5_AFDD_C38CD40775BB_.wvu.Cols" localSheetId="1" hidden="1">'FY2016 by Approp Title'!#REF!</definedName>
    <definedName name="Z_CBA65C9F_528B_4CA5_AFDD_C38CD40775BB_.wvu.Cols" localSheetId="2" hidden="1">'FY2016 By Approp Title-Adj'!#REF!</definedName>
    <definedName name="Z_CBA65C9F_528B_4CA5_AFDD_C38CD40775BB_.wvu.Rows" localSheetId="3" hidden="1">'FY 2016 by Agency'!$1:$3,'FY 2016 by Agency'!$240:$254</definedName>
    <definedName name="Z_CBA65C9F_528B_4CA5_AFDD_C38CD40775BB_.wvu.Rows" localSheetId="4" hidden="1">'FY 2016 by Agency-Adj'!$1:$3,'FY 2016 by Agency-Adj'!$237:$251</definedName>
    <definedName name="Z_CBA65C9F_528B_4CA5_AFDD_C38CD40775BB_.wvu.Rows" localSheetId="9" hidden="1">'Sheet 4'!$1:$6</definedName>
    <definedName name="Z_E44F5FE1_54FC_4AB3_84F9_7D65ACF2DDE7_.wvu.Cols" localSheetId="3" hidden="1">'FY 2016 by Agency'!$AV:$AW</definedName>
    <definedName name="Z_E44F5FE1_54FC_4AB3_84F9_7D65ACF2DDE7_.wvu.Cols" localSheetId="4" hidden="1">'FY 2016 by Agency-Adj'!$AI:$BK,'FY 2016 by Agency-Adj'!$BO:$BT</definedName>
    <definedName name="Z_E44F5FE1_54FC_4AB3_84F9_7D65ACF2DDE7_.wvu.Cols" localSheetId="1" hidden="1">'FY2016 by Approp Title'!#REF!</definedName>
    <definedName name="Z_E44F5FE1_54FC_4AB3_84F9_7D65ACF2DDE7_.wvu.Cols" localSheetId="2" hidden="1">'FY2016 By Approp Title-Adj'!#REF!</definedName>
    <definedName name="Z_E44F5FE1_54FC_4AB3_84F9_7D65ACF2DDE7_.wvu.Rows" localSheetId="3" hidden="1">'FY 2016 by Agency'!$1:$3,'FY 2016 by Agency'!$240:$254</definedName>
    <definedName name="Z_E44F5FE1_54FC_4AB3_84F9_7D65ACF2DDE7_.wvu.Rows" localSheetId="4" hidden="1">'FY 2016 by Agency-Adj'!$1:$3,'FY 2016 by Agency-Adj'!$237:$251</definedName>
    <definedName name="Z_E44F5FE1_54FC_4AB3_84F9_7D65ACF2DDE7_.wvu.Rows" localSheetId="9" hidden="1">'Sheet 4'!$1:$6</definedName>
    <definedName name="Z_E44F5FE1_54FC_4AB3_84F9_7D65ACF2DDE7_.wvu.Rows" localSheetId="10" hidden="1">'Sheet 5'!#REF!,'Sheet 5'!#REF!</definedName>
    <definedName name="Z_E44F5FE1_54FC_4AB3_84F9_7D65ACF2DDE7_.wvu.Rows" localSheetId="11" hidden="1">'Sheet 6'!#REF!</definedName>
    <definedName name="Z_E81D05A4_5B21_42D3_A8D3_906ABCABC0F4_.wvu.Cols" localSheetId="3" hidden="1">'FY 2016 by Agency'!$D:$E,'FY 2016 by Agency'!$G:$H,'FY 2016 by Agency'!$J:$K,'FY 2016 by Agency'!$M:$N,'FY 2016 by Agency'!$P:$Q,'FY 2016 by Agency'!$S:$T,'FY 2016 by Agency'!$V:$W,'FY 2016 by Agency'!$Y:$Z,'FY 2016 by Agency'!$AB:$AE,'FY 2016 by Agency'!$AV:$AW,'FY 2016 by Agency'!$AY:$AZ,'FY 2016 by Agency'!$BF:$BG,'FY 2016 by Agency'!$BM:$BQ</definedName>
    <definedName name="Z_E81D05A4_5B21_42D3_A8D3_906ABCABC0F4_.wvu.Cols" localSheetId="4" hidden="1">'FY 2016 by Agency-Adj'!$AD:$AE,'FY 2016 by Agency-Adj'!$AI:$BK,'FY 2016 by Agency-Adj'!$BO:$BT</definedName>
    <definedName name="Z_E81D05A4_5B21_42D3_A8D3_906ABCABC0F4_.wvu.Cols" localSheetId="1" hidden="1">'FY2016 by Approp Title'!#REF!</definedName>
    <definedName name="Z_E81D05A4_5B21_42D3_A8D3_906ABCABC0F4_.wvu.Cols" localSheetId="2" hidden="1">'FY2016 By Approp Title-Adj'!#REF!</definedName>
    <definedName name="Z_E81D05A4_5B21_42D3_A8D3_906ABCABC0F4_.wvu.Rows" localSheetId="3" hidden="1">'FY 2016 by Agency'!$1:$3,'FY 2016 by Agency'!$240:$254</definedName>
    <definedName name="Z_E81D05A4_5B21_42D3_A8D3_906ABCABC0F4_.wvu.Rows" localSheetId="4" hidden="1">'FY 2016 by Agency-Adj'!$1:$3,'FY 2016 by Agency-Adj'!$14:$14,'FY 2016 by Agency-Adj'!$19:$19,'FY 2016 by Agency-Adj'!$165:$165,'FY 2016 by Agency-Adj'!$172:$172,'FY 2016 by Agency-Adj'!$237:$251</definedName>
    <definedName name="Z_E81D05A4_5B21_42D3_A8D3_906ABCABC0F4_.wvu.Rows" localSheetId="9" hidden="1">'Sheet 4'!$1:$6</definedName>
    <definedName name="Z_F784130D_F647_4ABA_8943_C79CA5B0FDC4_.wvu.Cols" localSheetId="4" hidden="1">'FY 2016 by Agency-Adj'!$AJ:$AM,'FY 2016 by Agency-Adj'!$AZ:$BH</definedName>
    <definedName name="Z_F784130D_F647_4ABA_8943_C79CA5B0FDC4_.wvu.Cols" localSheetId="1" hidden="1">'FY2016 by Approp Title'!#REF!</definedName>
    <definedName name="Z_F784130D_F647_4ABA_8943_C79CA5B0FDC4_.wvu.Cols" localSheetId="2" hidden="1">'FY2016 By Approp Title-Adj'!#REF!</definedName>
    <definedName name="Z_F784130D_F647_4ABA_8943_C79CA5B0FDC4_.wvu.Rows" localSheetId="3" hidden="1">'FY 2016 by Agency'!$1:$3,'FY 2016 by Agency'!$240:$254</definedName>
    <definedName name="Z_F784130D_F647_4ABA_8943_C79CA5B0FDC4_.wvu.Rows" localSheetId="4" hidden="1">'FY 2016 by Agency-Adj'!$1:$3,'FY 2016 by Agency-Adj'!$172:$172,'FY 2016 by Agency-Adj'!$237:$251</definedName>
    <definedName name="Z_F784130D_F647_4ABA_8943_C79CA5B0FDC4_.wvu.Rows" localSheetId="9" hidden="1">'Sheet 4'!$1:$6</definedName>
    <definedName name="Z_F784130D_F647_4ABA_8943_C79CA5B0FDC4_.wvu.Rows" localSheetId="10" hidden="1">'Sheet 5'!#REF!,'Sheet 5'!#REF!</definedName>
    <definedName name="Z_F784130D_F647_4ABA_8943_C79CA5B0FDC4_.wvu.Rows" localSheetId="11" hidden="1">'Sheet 6'!#REF!</definedName>
  </definedNames>
  <calcPr calcId="152511" concurrentCalc="0"/>
  <customWorkbookViews>
    <customWorkbookView name="Ed Lazere - Personal View" guid="{AEFEB150-9213-45F5-A178-7AC71E46DB11}" mergeInterval="0" personalView="1" xWindow="10" yWindow="5" windowWidth="1918" windowHeight="1047" tabRatio="866" activeSheetId="4"/>
    <customWorkbookView name="Kate Coventry - Personal View" guid="{AB763728-FC8E-40B1-8BAD-FF6772AD9A46}" mergeInterval="0" personalView="1" xWindow="82" yWindow="176" windowWidth="1802" windowHeight="841" tabRatio="866" activeSheetId="7"/>
    <customWorkbookView name="Jessica Fulton - Personal View" guid="{08B0A6E6-0C62-4331-9E9A-05DFF5B8DF5B}" mergeInterval="0" personalView="1" windowWidth="720" windowHeight="860" tabRatio="866" activeSheetId="4"/>
    <customWorkbookView name="Jasmin Griffin - Personal View" guid="{70E2A0B1-0EA6-43AE-8715-395179465BE5}" mergeInterval="0" personalView="1" maximized="1" xWindow="-8" yWindow="-8" windowWidth="1456" windowHeight="876" tabRatio="866" activeSheetId="7"/>
    <customWorkbookView name="manganaris - Personal View" guid="{34052DE1-5E82-4B7C-8FA6-8E533676FB0A}" mergeInterval="0" personalView="1" maximized="1" xWindow="1" yWindow="1" windowWidth="1436" windowHeight="670" tabRatio="866" activeSheetId="4"/>
    <customWorkbookView name="coventry - Personal View" guid="{A2518DB3-3A80-4035-9307-EC50A7C923F2}" mergeInterval="0" personalView="1" maximized="1" xWindow="1" yWindow="1" windowWidth="1436" windowHeight="670" tabRatio="866" activeSheetId="4"/>
    <customWorkbookView name="fulton - Personal View" guid="{E81D05A4-5B21-42D3-A8D3-906ABCABC0F4}" mergeInterval="0" personalView="1" maximized="1" xWindow="1" yWindow="1" windowWidth="704" windowHeight="658" tabRatio="866" activeSheetId="5"/>
    <customWorkbookView name="j5xwEkb - Personal View" guid="{E44F5FE1-54FC-4AB3-84F9-7D65ACF2DDE7}" mergeInterval="0" personalView="1" maximized="1" xWindow="1" yWindow="1" windowWidth="1276" windowHeight="585" tabRatio="866" activeSheetId="5"/>
    <customWorkbookView name="williams - Personal View" guid="{94DA13B6-7351-40F3-8CF7-A4211EC439DA}" mergeInterval="0" personalView="1" maximized="1" xWindow="1" yWindow="1" windowWidth="1280" windowHeight="803" tabRatio="866" activeSheetId="4" showComments="commIndAndComment"/>
    <customWorkbookView name="kerstetter - Personal View" guid="{8F508F4D-4777-42BE-9707-8CB9355F7BDB}" mergeInterval="0" personalView="1" maximized="1" xWindow="1" yWindow="1" windowWidth="1436" windowHeight="670" tabRatio="866" activeSheetId="5"/>
    <customWorkbookView name="healy - Personal View" guid="{F784130D-F647-4ABA-8943-C79CA5B0FDC4}" mergeInterval="0" personalView="1" maximized="1" xWindow="1" yWindow="1" windowWidth="953" windowHeight="542" tabRatio="866" activeSheetId="4"/>
    <customWorkbookView name="gajdeczka - Personal View" guid="{1E5198E1-BA46-4CE0-8628-4F695B0D7A3B}" mergeInterval="0" personalView="1" maximized="1" xWindow="1" yWindow="1" windowWidth="1436" windowHeight="682" tabRatio="866" activeSheetId="5"/>
    <customWorkbookView name="biegler - Personal View" guid="{455630F5-40FC-47DB-8AD4-712C20B8FB91}" mergeInterval="0" personalView="1" maximized="1" xWindow="1" yWindow="1" windowWidth="1379" windowHeight="523" tabRatio="866" activeSheetId="3"/>
    <customWorkbookView name="Kwame Boadi - Personal View" guid="{9D4F0482-B164-4671-805A-E0D2D4DD4720}" mergeInterval="0" personalView="1" maximized="1" xWindow="1" yWindow="1" windowWidth="1436" windowHeight="670" activeSheetId="5"/>
    <customWorkbookView name="silverman - Personal View" guid="{567C3053-2D8E-4705-8DC7-18896C5303CA}" mergeInterval="0" personalView="1" maximized="1" xWindow="1" yWindow="1" windowWidth="1436" windowHeight="574" tabRatio="866" activeSheetId="7"/>
    <customWorkbookView name="Tina Marshall - Personal View" guid="{7A9890A5-7CC2-466F-AA52-39E8D428DC1C}" mergeInterval="0" personalView="1" maximized="1" windowWidth="1360" windowHeight="539" tabRatio="866" activeSheetId="4"/>
    <customWorkbookView name="Rivers - Personal View" guid="{CBA65C9F-528B-4CA5-AFDD-C38CD40775BB}" mergeInterval="0" personalView="1" maximized="1" xWindow="1" yWindow="1" windowWidth="1424" windowHeight="558" tabRatio="866" activeSheetId="4"/>
    <customWorkbookView name="Jenny Reed - Personal View" guid="{78CA186D-B240-44D5-8A24-D241DE0B0FD9}" mergeInterval="0" personalView="1" maximized="1" xWindow="-8" yWindow="-8" windowWidth="1456" windowHeight="876" tabRatio="866" activeSheetId="5"/>
    <customWorkbookView name="Merrit Gillard - Personal View" guid="{5102CD51-6323-4C0C-991F-AF8276ECBB13}" mergeInterval="0" personalView="1" maximized="1" xWindow="-8" yWindow="-8" windowWidth="1456" windowHeight="876" tabRatio="866" activeSheetId="6"/>
    <customWorkbookView name="Wes Rivers - Personal View" guid="{FF124C4D-20DF-4C1B-B072-A9ABB2F1106A}" mergeInterval="0" personalView="1" maximized="1" xWindow="-8" yWindow="-8" windowWidth="1936" windowHeight="1056" tabRatio="866" activeSheetId="4"/>
    <customWorkbookView name="bhat - Personal View" guid="{50528D02-548E-47E0-94D7-D1E79CD3569C}" mergeInterval="0" personalView="1" maximized="1" xWindow="-8" yWindow="-8" windowWidth="1936" windowHeight="1176" tabRatio="866" activeSheetId="4" showComments="commIndAndComment"/>
  </customWorkbookViews>
</workbook>
</file>

<file path=xl/calcChain.xml><?xml version="1.0" encoding="utf-8"?>
<calcChain xmlns="http://schemas.openxmlformats.org/spreadsheetml/2006/main">
  <c r="CP200" i="4" l="1"/>
  <c r="CP199" i="4"/>
  <c r="CP198" i="4"/>
  <c r="CP197" i="4"/>
  <c r="CP196" i="4"/>
  <c r="CP195" i="4"/>
  <c r="CP194" i="4"/>
  <c r="CP193" i="4"/>
  <c r="CP192" i="4"/>
  <c r="CP191" i="4"/>
  <c r="CP156" i="4"/>
  <c r="CK155" i="4"/>
  <c r="CO155" i="4"/>
  <c r="CP155" i="4"/>
  <c r="CK160" i="4"/>
  <c r="CK161" i="4"/>
  <c r="CK176" i="4"/>
  <c r="C3" i="8"/>
  <c r="CO160" i="4"/>
  <c r="CO159" i="4"/>
  <c r="CO157" i="4"/>
  <c r="CH81" i="5"/>
  <c r="CH80" i="5"/>
  <c r="CH79" i="5"/>
  <c r="CH78" i="5"/>
  <c r="CH77" i="5"/>
  <c r="CH76" i="5"/>
  <c r="CH75" i="5"/>
  <c r="CH74" i="5"/>
  <c r="CH73" i="5"/>
  <c r="CH72" i="5"/>
  <c r="CH71" i="5"/>
  <c r="CH70" i="5"/>
  <c r="CH69" i="5"/>
  <c r="CH68" i="5"/>
  <c r="CH67" i="5"/>
  <c r="CH66" i="5"/>
  <c r="CH65" i="5"/>
  <c r="CH64" i="5"/>
  <c r="CH63" i="5"/>
  <c r="CH62" i="5"/>
  <c r="CH61" i="5"/>
  <c r="CH60" i="5"/>
  <c r="CH59" i="5"/>
  <c r="CH58" i="5"/>
  <c r="CQ131" i="4"/>
  <c r="CQ130" i="4"/>
  <c r="CQ129" i="4"/>
  <c r="CN200" i="4"/>
  <c r="CK191" i="4"/>
  <c r="CK192" i="4"/>
  <c r="CK193" i="4"/>
  <c r="CK194" i="4"/>
  <c r="CK195" i="4"/>
  <c r="CK196" i="4"/>
  <c r="CK197" i="4"/>
  <c r="CK198" i="4"/>
  <c r="CK199" i="4"/>
  <c r="CK200" i="4"/>
  <c r="CO200" i="4"/>
  <c r="CN177" i="4"/>
  <c r="CK177" i="4"/>
  <c r="CN176" i="4"/>
  <c r="CN160" i="4"/>
  <c r="CK175" i="4"/>
  <c r="CK174" i="4"/>
  <c r="CK173" i="4"/>
  <c r="CK172" i="4"/>
  <c r="CK171" i="4"/>
  <c r="CK170" i="4"/>
  <c r="CK169" i="4"/>
  <c r="CK168" i="4"/>
  <c r="CK167" i="4"/>
  <c r="CK166" i="4"/>
  <c r="CK165" i="4"/>
  <c r="CK164" i="4"/>
  <c r="CK163" i="4"/>
  <c r="CK162" i="4"/>
  <c r="CK159" i="4"/>
  <c r="CK158" i="4"/>
  <c r="CK156" i="4"/>
  <c r="CK83" i="4"/>
  <c r="CN83" i="4"/>
  <c r="L172" i="5"/>
  <c r="U172" i="5"/>
  <c r="X172" i="5"/>
  <c r="Y172" i="5"/>
  <c r="CL173" i="4"/>
  <c r="CM173" i="4"/>
  <c r="CN23" i="4"/>
  <c r="CN142" i="4"/>
  <c r="CH141" i="5"/>
  <c r="CK128" i="4"/>
  <c r="CK129" i="4"/>
  <c r="CK130" i="4"/>
  <c r="CK131" i="4"/>
  <c r="CK132" i="4"/>
  <c r="CK133" i="4"/>
  <c r="CK134" i="4"/>
  <c r="CK135" i="4"/>
  <c r="CK136" i="4"/>
  <c r="CK137" i="4"/>
  <c r="CK138" i="4"/>
  <c r="CK139" i="4"/>
  <c r="CK140" i="4"/>
  <c r="CK141" i="4"/>
  <c r="CK142" i="4"/>
  <c r="CE141" i="5"/>
  <c r="CI141" i="5"/>
  <c r="CJ141" i="5"/>
  <c r="CN117" i="4"/>
  <c r="CK93" i="4"/>
  <c r="CK94" i="4"/>
  <c r="CK95" i="4"/>
  <c r="CK96" i="4"/>
  <c r="CK97" i="4"/>
  <c r="CK98" i="4"/>
  <c r="CK99" i="4"/>
  <c r="CK100" i="4"/>
  <c r="CK101" i="4"/>
  <c r="CK102" i="4"/>
  <c r="CK103" i="4"/>
  <c r="CK104" i="4"/>
  <c r="CK105" i="4"/>
  <c r="CK106" i="4"/>
  <c r="CK107" i="4"/>
  <c r="CK108" i="4"/>
  <c r="CK109" i="4"/>
  <c r="CK110" i="4"/>
  <c r="CK111" i="4"/>
  <c r="CK112" i="4"/>
  <c r="CK113" i="4"/>
  <c r="CK114" i="4"/>
  <c r="CK115" i="4"/>
  <c r="CK116" i="4"/>
  <c r="CK117" i="4"/>
  <c r="CI142" i="4"/>
  <c r="CH173" i="5"/>
  <c r="CH172" i="5"/>
  <c r="CH171" i="5"/>
  <c r="CH170" i="5"/>
  <c r="CH169" i="5"/>
  <c r="CH168" i="5"/>
  <c r="CH167" i="5"/>
  <c r="CH166" i="5"/>
  <c r="CH165" i="5"/>
  <c r="CH164" i="5"/>
  <c r="CH163" i="5"/>
  <c r="CH162" i="5"/>
  <c r="CH161" i="5"/>
  <c r="CH160" i="5"/>
  <c r="CH159" i="5"/>
  <c r="CH158" i="5"/>
  <c r="CH157" i="5"/>
  <c r="CH155" i="5"/>
  <c r="CH154" i="5"/>
  <c r="CH156" i="5"/>
  <c r="CN25" i="4"/>
  <c r="CN48" i="4"/>
  <c r="CH48" i="5"/>
  <c r="CK7" i="4"/>
  <c r="CK8" i="4"/>
  <c r="CK9" i="4"/>
  <c r="CK10" i="4"/>
  <c r="CK11" i="4"/>
  <c r="CK12" i="4"/>
  <c r="CK13" i="4"/>
  <c r="CK14" i="4"/>
  <c r="CK15" i="4"/>
  <c r="CK16" i="4"/>
  <c r="CK17" i="4"/>
  <c r="CK18" i="4"/>
  <c r="CK19" i="4"/>
  <c r="CK20" i="4"/>
  <c r="CK21" i="4"/>
  <c r="CK22" i="4"/>
  <c r="CK23" i="4"/>
  <c r="CK24" i="4"/>
  <c r="CK25" i="4"/>
  <c r="CK26" i="4"/>
  <c r="CK27" i="4"/>
  <c r="CK28" i="4"/>
  <c r="CK29" i="4"/>
  <c r="CK30" i="4"/>
  <c r="CK31" i="4"/>
  <c r="CK32" i="4"/>
  <c r="CK33" i="4"/>
  <c r="CK34" i="4"/>
  <c r="CK35" i="4"/>
  <c r="CK36" i="4"/>
  <c r="CK37" i="4"/>
  <c r="CK38" i="4"/>
  <c r="CK39" i="4"/>
  <c r="CK40" i="4"/>
  <c r="CK41" i="4"/>
  <c r="CK42" i="4"/>
  <c r="CK43" i="4"/>
  <c r="CK44" i="4"/>
  <c r="CK45" i="4"/>
  <c r="CK46" i="4"/>
  <c r="CK48" i="4"/>
  <c r="CE48" i="5"/>
  <c r="CK157" i="4"/>
  <c r="CE92" i="5"/>
  <c r="CB92" i="5"/>
  <c r="CF92" i="5"/>
  <c r="CE93" i="5"/>
  <c r="CB93" i="5"/>
  <c r="CF93" i="5"/>
  <c r="CE94" i="5"/>
  <c r="CB94" i="5"/>
  <c r="CF94" i="5"/>
  <c r="CE95" i="5"/>
  <c r="CB95" i="5"/>
  <c r="CF95" i="5"/>
  <c r="CE96" i="5"/>
  <c r="CB96" i="5"/>
  <c r="CF96" i="5"/>
  <c r="CE97" i="5"/>
  <c r="CB97" i="5"/>
  <c r="CF97" i="5"/>
  <c r="CE98" i="5"/>
  <c r="CB98" i="5"/>
  <c r="CF98" i="5"/>
  <c r="CE99" i="5"/>
  <c r="CB99" i="5"/>
  <c r="CF99" i="5"/>
  <c r="CE100" i="5"/>
  <c r="CB100" i="5"/>
  <c r="CF100" i="5"/>
  <c r="CE101" i="5"/>
  <c r="CB101" i="5"/>
  <c r="CF101" i="5"/>
  <c r="CE102" i="5"/>
  <c r="CB102" i="5"/>
  <c r="CF102" i="5"/>
  <c r="CE103" i="5"/>
  <c r="CB103" i="5"/>
  <c r="CF103" i="5"/>
  <c r="CE104" i="5"/>
  <c r="CB104" i="5"/>
  <c r="CF104" i="5"/>
  <c r="CE105" i="5"/>
  <c r="CB105" i="5"/>
  <c r="CF105" i="5"/>
  <c r="CE106" i="5"/>
  <c r="CB106" i="5"/>
  <c r="CF106" i="5"/>
  <c r="CE107" i="5"/>
  <c r="CB107" i="5"/>
  <c r="CF107" i="5"/>
  <c r="CE108" i="5"/>
  <c r="CB108" i="5"/>
  <c r="CF108" i="5"/>
  <c r="CE109" i="5"/>
  <c r="CB109" i="5"/>
  <c r="CF109" i="5"/>
  <c r="CE110" i="5"/>
  <c r="CB110" i="5"/>
  <c r="CF110" i="5"/>
  <c r="CE111" i="5"/>
  <c r="CB111" i="5"/>
  <c r="CF111" i="5"/>
  <c r="CE112" i="5"/>
  <c r="CB112" i="5"/>
  <c r="CF112" i="5"/>
  <c r="CE113" i="5"/>
  <c r="CB113" i="5"/>
  <c r="CF113" i="5"/>
  <c r="CE114" i="5"/>
  <c r="CB114" i="5"/>
  <c r="CF114" i="5"/>
  <c r="CE115" i="5"/>
  <c r="CB115" i="5"/>
  <c r="CF115" i="5"/>
  <c r="CF116" i="5"/>
  <c r="CB116" i="5"/>
  <c r="CG116" i="5"/>
  <c r="CE140" i="5"/>
  <c r="CB140" i="5"/>
  <c r="CF140" i="5"/>
  <c r="CG140" i="5"/>
  <c r="CB141" i="5"/>
  <c r="CF141" i="5"/>
  <c r="CG141" i="5"/>
  <c r="CH140" i="5"/>
  <c r="CH139" i="5"/>
  <c r="CH138" i="5"/>
  <c r="CH137" i="5"/>
  <c r="CH136" i="5"/>
  <c r="CH135" i="5"/>
  <c r="CH133" i="5"/>
  <c r="CH134" i="5"/>
  <c r="CH132" i="5"/>
  <c r="CH131" i="5"/>
  <c r="CH130" i="5"/>
  <c r="CH129" i="5"/>
  <c r="CH128" i="5"/>
  <c r="CH127" i="5"/>
  <c r="CH116" i="5"/>
  <c r="CH106" i="5"/>
  <c r="CH107" i="5"/>
  <c r="CH108" i="5"/>
  <c r="CH109" i="5"/>
  <c r="CH110" i="5"/>
  <c r="CH111" i="5"/>
  <c r="CH112" i="5"/>
  <c r="CH113" i="5"/>
  <c r="CH114" i="5"/>
  <c r="CH115" i="5"/>
  <c r="CH105" i="5"/>
  <c r="CH104" i="5"/>
  <c r="CH103" i="5"/>
  <c r="CH102" i="5"/>
  <c r="CH101" i="5"/>
  <c r="CH100" i="5"/>
  <c r="CH99" i="5"/>
  <c r="CH98" i="5"/>
  <c r="CH97" i="5"/>
  <c r="CH96" i="5"/>
  <c r="CH95" i="5"/>
  <c r="CH94" i="5"/>
  <c r="CH93" i="5"/>
  <c r="CH92" i="5"/>
  <c r="CK47" i="4"/>
  <c r="CF25" i="4"/>
  <c r="CL33" i="4"/>
  <c r="CM33" i="4"/>
  <c r="CH35" i="5"/>
  <c r="CE35" i="5"/>
  <c r="CI35" i="5"/>
  <c r="CJ35" i="5"/>
  <c r="CB35" i="5"/>
  <c r="CF35" i="5"/>
  <c r="CG35" i="5"/>
  <c r="CH34" i="5"/>
  <c r="CE34" i="5"/>
  <c r="CI34" i="5"/>
  <c r="CJ34" i="5"/>
  <c r="CB34" i="5"/>
  <c r="CF34" i="5"/>
  <c r="CG34" i="5"/>
  <c r="CE33" i="5"/>
  <c r="CF33" i="5"/>
  <c r="CG33" i="5"/>
  <c r="CH33" i="5"/>
  <c r="CN82" i="4"/>
  <c r="CI82" i="4"/>
  <c r="CK82" i="4"/>
  <c r="CK81" i="4"/>
  <c r="CK80" i="4"/>
  <c r="CK79" i="4"/>
  <c r="CK78" i="4"/>
  <c r="CK77" i="4"/>
  <c r="CK76" i="4"/>
  <c r="CK75" i="4"/>
  <c r="CK74" i="4"/>
  <c r="CK73" i="4"/>
  <c r="CK72" i="4"/>
  <c r="CK71" i="4"/>
  <c r="CK70" i="4"/>
  <c r="CK69" i="4"/>
  <c r="CK68" i="4"/>
  <c r="CK67" i="4"/>
  <c r="CK66" i="4"/>
  <c r="CK65" i="4"/>
  <c r="CK64" i="4"/>
  <c r="CK63" i="4"/>
  <c r="CK62" i="4"/>
  <c r="CK61" i="4"/>
  <c r="CK60" i="4"/>
  <c r="CK59" i="4"/>
  <c r="CH37" i="5"/>
  <c r="CE37" i="5"/>
  <c r="CH36" i="5"/>
  <c r="CE36" i="5"/>
  <c r="CO47" i="4"/>
  <c r="CP47" i="4"/>
  <c r="CG47" i="4"/>
  <c r="CH47" i="5"/>
  <c r="CE47" i="5"/>
  <c r="CI47" i="5"/>
  <c r="CJ47" i="5"/>
  <c r="CB47" i="5"/>
  <c r="CF47" i="5"/>
  <c r="CG47" i="5"/>
  <c r="CC47" i="5"/>
  <c r="CD47" i="5"/>
  <c r="CL47" i="4"/>
  <c r="CM47" i="4"/>
  <c r="CH47" i="4"/>
  <c r="CH46" i="5"/>
  <c r="CE46" i="5"/>
  <c r="CI46" i="5"/>
  <c r="CJ46" i="5"/>
  <c r="CB46" i="5"/>
  <c r="CF46" i="5"/>
  <c r="CG46" i="5"/>
  <c r="CC46" i="5"/>
  <c r="CD46" i="5"/>
  <c r="CO46" i="4"/>
  <c r="CP46" i="4"/>
  <c r="CL46" i="4"/>
  <c r="CM46" i="4"/>
  <c r="CI48" i="4"/>
  <c r="CG46" i="4"/>
  <c r="CH46" i="4"/>
  <c r="CH45" i="5"/>
  <c r="CE45" i="5"/>
  <c r="CI45" i="5"/>
  <c r="CJ45" i="5"/>
  <c r="CB45" i="5"/>
  <c r="CF45" i="5"/>
  <c r="CG45" i="5"/>
  <c r="CC45" i="5"/>
  <c r="CD45" i="5"/>
  <c r="CO45" i="4"/>
  <c r="CP45" i="4"/>
  <c r="CL45" i="4"/>
  <c r="CM45" i="4"/>
  <c r="CG45" i="4"/>
  <c r="CH45" i="4"/>
  <c r="CH44" i="5"/>
  <c r="CE44" i="5"/>
  <c r="CN235" i="4"/>
  <c r="CK210" i="4"/>
  <c r="CK211" i="4"/>
  <c r="CK212" i="4"/>
  <c r="CK213" i="4"/>
  <c r="CK214" i="4"/>
  <c r="CK215" i="4"/>
  <c r="CK216" i="4"/>
  <c r="CK217" i="4"/>
  <c r="CK218" i="4"/>
  <c r="CK219" i="4"/>
  <c r="CK220" i="4"/>
  <c r="CK221" i="4"/>
  <c r="CK222" i="4"/>
  <c r="CK223" i="4"/>
  <c r="CK224" i="4"/>
  <c r="CK225" i="4"/>
  <c r="CK226" i="4"/>
  <c r="CK227" i="4"/>
  <c r="CK228" i="4"/>
  <c r="CK229" i="4"/>
  <c r="CK230" i="4"/>
  <c r="CK231" i="4"/>
  <c r="CK232" i="4"/>
  <c r="CK233" i="4"/>
  <c r="CK235" i="4"/>
  <c r="CO235" i="4"/>
  <c r="CP235" i="4"/>
  <c r="CL142" i="4"/>
  <c r="CM142" i="4"/>
  <c r="CH231" i="5"/>
  <c r="CE231" i="5"/>
  <c r="CH230" i="5"/>
  <c r="CK234" i="4"/>
  <c r="CE230" i="5"/>
  <c r="CI230" i="5"/>
  <c r="CJ230" i="5"/>
  <c r="CB230" i="5"/>
  <c r="CF230" i="5"/>
  <c r="CG230" i="5"/>
  <c r="BY230" i="5"/>
  <c r="CC230" i="5"/>
  <c r="CD230" i="5"/>
  <c r="BR230" i="5"/>
  <c r="BZ230" i="5"/>
  <c r="CA230" i="5"/>
  <c r="BX230" i="5"/>
  <c r="BU230" i="5"/>
  <c r="BL230" i="5"/>
  <c r="BV230" i="5"/>
  <c r="BO230" i="5"/>
  <c r="BS230" i="5"/>
  <c r="BT230" i="5"/>
  <c r="BP230" i="5"/>
  <c r="BQ230" i="5"/>
  <c r="BM230" i="5"/>
  <c r="BN230" i="5"/>
  <c r="BK230" i="5"/>
  <c r="BJ230" i="5"/>
  <c r="AD230" i="5"/>
  <c r="AA230" i="5"/>
  <c r="CH229" i="5"/>
  <c r="CH228" i="5"/>
  <c r="CH227" i="5"/>
  <c r="CH226" i="5"/>
  <c r="CH225" i="5"/>
  <c r="CH224" i="5"/>
  <c r="CH223" i="5"/>
  <c r="CH222" i="5"/>
  <c r="CH221" i="5"/>
  <c r="CH220" i="5"/>
  <c r="CH219" i="5"/>
  <c r="CH218" i="5"/>
  <c r="CH217" i="5"/>
  <c r="CH216" i="5"/>
  <c r="CH215" i="5"/>
  <c r="CH214" i="5"/>
  <c r="CH213" i="5"/>
  <c r="CH212" i="5"/>
  <c r="CH211" i="5"/>
  <c r="CH210" i="5"/>
  <c r="CH209" i="5"/>
  <c r="CH208" i="5"/>
  <c r="CH207" i="5"/>
  <c r="CH206" i="5"/>
  <c r="CF235" i="4"/>
  <c r="CN192" i="4"/>
  <c r="CN195" i="4"/>
  <c r="CN197" i="4"/>
  <c r="CI197" i="4"/>
  <c r="CI195" i="4"/>
  <c r="CI192" i="4"/>
  <c r="CI172" i="4"/>
  <c r="CI171" i="4"/>
  <c r="CI158" i="4"/>
  <c r="CI155" i="4"/>
  <c r="CI13" i="4"/>
  <c r="CI10" i="4"/>
  <c r="CI7" i="4"/>
  <c r="E14" i="6"/>
  <c r="E17" i="6"/>
  <c r="E16" i="6"/>
  <c r="E2" i="6"/>
  <c r="E12" i="6"/>
  <c r="E18" i="6"/>
  <c r="CG13" i="4"/>
  <c r="CH13" i="4"/>
  <c r="CL13" i="4"/>
  <c r="CM13" i="4"/>
  <c r="AV11" i="2"/>
  <c r="AS11" i="2"/>
  <c r="AW11" i="2"/>
  <c r="AX11" i="2"/>
  <c r="AV5" i="3"/>
  <c r="AS5" i="3"/>
  <c r="AW5" i="3"/>
  <c r="AX5" i="3"/>
  <c r="CD25" i="4"/>
  <c r="CD48" i="4"/>
  <c r="CE48" i="4"/>
  <c r="CF48" i="4"/>
  <c r="AP11" i="2"/>
  <c r="AV12" i="2"/>
  <c r="AV6" i="3"/>
  <c r="AS12" i="2"/>
  <c r="AS6" i="3"/>
  <c r="AW6" i="3"/>
  <c r="AX6" i="3"/>
  <c r="AV13" i="2"/>
  <c r="AV7" i="3"/>
  <c r="AS13" i="2"/>
  <c r="AS7" i="3"/>
  <c r="AV14" i="2"/>
  <c r="AS14" i="2"/>
  <c r="AW14" i="2"/>
  <c r="AX14" i="2"/>
  <c r="AV8" i="3"/>
  <c r="AS8" i="3"/>
  <c r="AW8" i="3"/>
  <c r="AX8" i="3"/>
  <c r="AV15" i="2"/>
  <c r="AV9" i="3"/>
  <c r="AS15" i="2"/>
  <c r="AS9" i="3"/>
  <c r="AW9" i="3"/>
  <c r="AX9" i="3"/>
  <c r="AV16" i="2"/>
  <c r="AV10" i="3"/>
  <c r="AS16" i="2"/>
  <c r="AS10" i="3"/>
  <c r="AW10" i="3"/>
  <c r="AX10" i="3"/>
  <c r="AV17" i="2"/>
  <c r="AV11" i="3"/>
  <c r="AS17" i="2"/>
  <c r="AS11" i="3"/>
  <c r="AW11" i="3"/>
  <c r="AX11" i="3"/>
  <c r="AV18" i="2"/>
  <c r="AS18" i="2"/>
  <c r="AW18" i="2"/>
  <c r="AX18" i="2"/>
  <c r="AV12" i="3"/>
  <c r="AS12" i="3"/>
  <c r="AW12" i="3"/>
  <c r="AX12" i="3"/>
  <c r="AW12" i="2"/>
  <c r="AX12" i="2"/>
  <c r="AW13" i="2"/>
  <c r="AX13" i="2"/>
  <c r="AW16" i="2"/>
  <c r="AX16" i="2"/>
  <c r="AW17" i="2"/>
  <c r="AX17" i="2"/>
  <c r="CE17" i="5"/>
  <c r="CH17" i="5"/>
  <c r="CI17" i="5"/>
  <c r="CJ17" i="5"/>
  <c r="CH253" i="5"/>
  <c r="CE253" i="5"/>
  <c r="CI253" i="5"/>
  <c r="CJ253" i="5"/>
  <c r="CE207" i="5"/>
  <c r="CI207" i="5"/>
  <c r="CJ207" i="5"/>
  <c r="CE208" i="5"/>
  <c r="CI208" i="5"/>
  <c r="CJ208" i="5"/>
  <c r="CE209" i="5"/>
  <c r="CI209" i="5"/>
  <c r="CJ209" i="5"/>
  <c r="CE210" i="5"/>
  <c r="CI210" i="5"/>
  <c r="CJ210" i="5"/>
  <c r="CE211" i="5"/>
  <c r="CE212" i="5"/>
  <c r="CI212" i="5"/>
  <c r="CJ212" i="5"/>
  <c r="CE213" i="5"/>
  <c r="CI213" i="5"/>
  <c r="CJ213" i="5"/>
  <c r="CE214" i="5"/>
  <c r="CI214" i="5"/>
  <c r="CJ214" i="5"/>
  <c r="CE215" i="5"/>
  <c r="CI215" i="5"/>
  <c r="CJ215" i="5"/>
  <c r="CE216" i="5"/>
  <c r="CI216" i="5"/>
  <c r="CJ216" i="5"/>
  <c r="CE217" i="5"/>
  <c r="CI217" i="5"/>
  <c r="CJ217" i="5"/>
  <c r="CE218" i="5"/>
  <c r="CI218" i="5"/>
  <c r="CJ218" i="5"/>
  <c r="CE219" i="5"/>
  <c r="CI219" i="5"/>
  <c r="CJ219" i="5"/>
  <c r="CE220" i="5"/>
  <c r="CI220" i="5"/>
  <c r="CJ220" i="5"/>
  <c r="CE221" i="5"/>
  <c r="CI221" i="5"/>
  <c r="CJ221" i="5"/>
  <c r="CE222" i="5"/>
  <c r="CI222" i="5"/>
  <c r="CJ222" i="5"/>
  <c r="CE223" i="5"/>
  <c r="CI223" i="5"/>
  <c r="CJ223" i="5"/>
  <c r="CE224" i="5"/>
  <c r="CI224" i="5"/>
  <c r="CJ224" i="5"/>
  <c r="CE225" i="5"/>
  <c r="CI225" i="5"/>
  <c r="CJ225" i="5"/>
  <c r="CE226" i="5"/>
  <c r="CI226" i="5"/>
  <c r="CJ226" i="5"/>
  <c r="CE227" i="5"/>
  <c r="CE228" i="5"/>
  <c r="CI228" i="5"/>
  <c r="CJ228" i="5"/>
  <c r="CE229" i="5"/>
  <c r="CI229" i="5"/>
  <c r="CJ229" i="5"/>
  <c r="CI231" i="5"/>
  <c r="CJ231" i="5"/>
  <c r="CE206" i="5"/>
  <c r="CI206" i="5"/>
  <c r="CJ206" i="5"/>
  <c r="CH188" i="5"/>
  <c r="CE188" i="5"/>
  <c r="CI188" i="5"/>
  <c r="CJ188" i="5"/>
  <c r="CH189" i="5"/>
  <c r="CE189" i="5"/>
  <c r="CI189" i="5"/>
  <c r="CJ189" i="5"/>
  <c r="CH190" i="5"/>
  <c r="CE190" i="5"/>
  <c r="CI190" i="5"/>
  <c r="CJ190" i="5"/>
  <c r="CH191" i="5"/>
  <c r="CE191" i="5"/>
  <c r="CI191" i="5"/>
  <c r="CJ191" i="5"/>
  <c r="CH192" i="5"/>
  <c r="CE192" i="5"/>
  <c r="CI192" i="5"/>
  <c r="CJ192" i="5"/>
  <c r="CH193" i="5"/>
  <c r="CE193" i="5"/>
  <c r="CI193" i="5"/>
  <c r="CJ193" i="5"/>
  <c r="CH194" i="5"/>
  <c r="CE194" i="5"/>
  <c r="CI194" i="5"/>
  <c r="CJ194" i="5"/>
  <c r="CH195" i="5"/>
  <c r="CE195" i="5"/>
  <c r="CI195" i="5"/>
  <c r="CJ195" i="5"/>
  <c r="CH196" i="5"/>
  <c r="CE196" i="5"/>
  <c r="CI196" i="5"/>
  <c r="CJ196" i="5"/>
  <c r="CH187" i="5"/>
  <c r="CE187" i="5"/>
  <c r="CI187" i="5"/>
  <c r="CJ187" i="5"/>
  <c r="CE155" i="5"/>
  <c r="CI155" i="5"/>
  <c r="CJ155" i="5"/>
  <c r="CE156" i="5"/>
  <c r="CB156" i="5"/>
  <c r="CF156" i="5"/>
  <c r="CG156" i="5"/>
  <c r="CE157" i="5"/>
  <c r="CI157" i="5"/>
  <c r="CJ157" i="5"/>
  <c r="CE158" i="5"/>
  <c r="CI158" i="5"/>
  <c r="CJ158" i="5"/>
  <c r="CE159" i="5"/>
  <c r="CI159" i="5"/>
  <c r="CJ159" i="5"/>
  <c r="CE160" i="5"/>
  <c r="CI160" i="5"/>
  <c r="CJ160" i="5"/>
  <c r="CE161" i="5"/>
  <c r="CI161" i="5"/>
  <c r="CJ161" i="5"/>
  <c r="CE162" i="5"/>
  <c r="CI162" i="5"/>
  <c r="CJ162" i="5"/>
  <c r="CE163" i="5"/>
  <c r="CI163" i="5"/>
  <c r="CJ163" i="5"/>
  <c r="CE164" i="5"/>
  <c r="CI164" i="5"/>
  <c r="CJ164" i="5"/>
  <c r="CE165" i="5"/>
  <c r="CI165" i="5"/>
  <c r="CJ165" i="5"/>
  <c r="CE166" i="5"/>
  <c r="CI166" i="5"/>
  <c r="CJ166" i="5"/>
  <c r="CE167" i="5"/>
  <c r="CI167" i="5"/>
  <c r="CJ167" i="5"/>
  <c r="CE168" i="5"/>
  <c r="CI168" i="5"/>
  <c r="CJ168" i="5"/>
  <c r="CE169" i="5"/>
  <c r="CI169" i="5"/>
  <c r="CJ169" i="5"/>
  <c r="CE170" i="5"/>
  <c r="CI170" i="5"/>
  <c r="CJ170" i="5"/>
  <c r="CE171" i="5"/>
  <c r="CI171" i="5"/>
  <c r="CJ171" i="5"/>
  <c r="CE172" i="5"/>
  <c r="CE173" i="5"/>
  <c r="CI173" i="5"/>
  <c r="CJ173" i="5"/>
  <c r="CH174" i="5"/>
  <c r="CE174" i="5"/>
  <c r="CI174" i="5"/>
  <c r="CJ174" i="5"/>
  <c r="CH175" i="5"/>
  <c r="CE175" i="5"/>
  <c r="CI175" i="5"/>
  <c r="CJ175" i="5"/>
  <c r="CE154" i="5"/>
  <c r="CI154" i="5"/>
  <c r="CJ154" i="5"/>
  <c r="CE128" i="5"/>
  <c r="CI128" i="5"/>
  <c r="CJ128" i="5"/>
  <c r="CE129" i="5"/>
  <c r="CI129" i="5"/>
  <c r="CJ129" i="5"/>
  <c r="CE130" i="5"/>
  <c r="CI130" i="5"/>
  <c r="CJ130" i="5"/>
  <c r="CE131" i="5"/>
  <c r="CI131" i="5"/>
  <c r="CJ131" i="5"/>
  <c r="CE132" i="5"/>
  <c r="CI132" i="5"/>
  <c r="CJ132" i="5"/>
  <c r="CE133" i="5"/>
  <c r="CI133" i="5"/>
  <c r="CJ133" i="5"/>
  <c r="CE134" i="5"/>
  <c r="CI134" i="5"/>
  <c r="CJ134" i="5"/>
  <c r="CE135" i="5"/>
  <c r="CI135" i="5"/>
  <c r="CJ135" i="5"/>
  <c r="CE136" i="5"/>
  <c r="CI136" i="5"/>
  <c r="CJ136" i="5"/>
  <c r="CE137" i="5"/>
  <c r="CI137" i="5"/>
  <c r="CJ137" i="5"/>
  <c r="CE138" i="5"/>
  <c r="CI138" i="5"/>
  <c r="CJ138" i="5"/>
  <c r="CE139" i="5"/>
  <c r="CI140" i="5"/>
  <c r="CJ140" i="5"/>
  <c r="CE127" i="5"/>
  <c r="CI127" i="5"/>
  <c r="CJ127" i="5"/>
  <c r="CI93" i="5"/>
  <c r="CJ93" i="5"/>
  <c r="CI94" i="5"/>
  <c r="CJ94" i="5"/>
  <c r="CI95" i="5"/>
  <c r="CJ95" i="5"/>
  <c r="CI96" i="5"/>
  <c r="CJ96" i="5"/>
  <c r="CI97" i="5"/>
  <c r="CJ97" i="5"/>
  <c r="CI98" i="5"/>
  <c r="CJ98" i="5"/>
  <c r="CI99" i="5"/>
  <c r="CJ99" i="5"/>
  <c r="CI100" i="5"/>
  <c r="CJ100" i="5"/>
  <c r="CI101" i="5"/>
  <c r="CJ101" i="5"/>
  <c r="CI102" i="5"/>
  <c r="CJ102" i="5"/>
  <c r="CI103" i="5"/>
  <c r="CJ103" i="5"/>
  <c r="CI104" i="5"/>
  <c r="CJ104" i="5"/>
  <c r="CI105" i="5"/>
  <c r="CJ105" i="5"/>
  <c r="CI106" i="5"/>
  <c r="CJ106" i="5"/>
  <c r="CI107" i="5"/>
  <c r="CJ107" i="5"/>
  <c r="CI108" i="5"/>
  <c r="CJ108" i="5"/>
  <c r="CI109" i="5"/>
  <c r="CJ109" i="5"/>
  <c r="CI110" i="5"/>
  <c r="CJ110" i="5"/>
  <c r="CI111" i="5"/>
  <c r="CJ111" i="5"/>
  <c r="CI112" i="5"/>
  <c r="CJ112" i="5"/>
  <c r="CI113" i="5"/>
  <c r="CJ113" i="5"/>
  <c r="CI114" i="5"/>
  <c r="CJ114" i="5"/>
  <c r="CI115" i="5"/>
  <c r="CJ115" i="5"/>
  <c r="CE116" i="5"/>
  <c r="CI116" i="5"/>
  <c r="CJ116" i="5"/>
  <c r="CI92" i="5"/>
  <c r="CJ92" i="5"/>
  <c r="CE59" i="5"/>
  <c r="CI59" i="5"/>
  <c r="CJ59" i="5"/>
  <c r="CE60" i="5"/>
  <c r="CI60" i="5"/>
  <c r="CJ60" i="5"/>
  <c r="CE61" i="5"/>
  <c r="CI61" i="5"/>
  <c r="CJ61" i="5"/>
  <c r="CE62" i="5"/>
  <c r="CE63" i="5"/>
  <c r="CI63" i="5"/>
  <c r="CJ63" i="5"/>
  <c r="CE64" i="5"/>
  <c r="CI64" i="5"/>
  <c r="CJ64" i="5"/>
  <c r="CE65" i="5"/>
  <c r="CI65" i="5"/>
  <c r="CJ65" i="5"/>
  <c r="CE66" i="5"/>
  <c r="CI66" i="5"/>
  <c r="CJ66" i="5"/>
  <c r="CE67" i="5"/>
  <c r="CI67" i="5"/>
  <c r="CJ67" i="5"/>
  <c r="CE68" i="5"/>
  <c r="CI68" i="5"/>
  <c r="CJ68" i="5"/>
  <c r="CE69" i="5"/>
  <c r="CI69" i="5"/>
  <c r="CJ69" i="5"/>
  <c r="CE70" i="5"/>
  <c r="CI70" i="5"/>
  <c r="CJ70" i="5"/>
  <c r="CE71" i="5"/>
  <c r="CI71" i="5"/>
  <c r="CJ71" i="5"/>
  <c r="CE72" i="5"/>
  <c r="CB72" i="5"/>
  <c r="CF72" i="5"/>
  <c r="CI72" i="5"/>
  <c r="CJ72" i="5"/>
  <c r="CE73" i="5"/>
  <c r="CI73" i="5"/>
  <c r="CJ73" i="5"/>
  <c r="CE74" i="5"/>
  <c r="CI74" i="5"/>
  <c r="CJ74" i="5"/>
  <c r="CE75" i="5"/>
  <c r="CI75" i="5"/>
  <c r="CJ75" i="5"/>
  <c r="CE76" i="5"/>
  <c r="CI76" i="5"/>
  <c r="CJ76" i="5"/>
  <c r="CE77" i="5"/>
  <c r="CI77" i="5"/>
  <c r="CJ77" i="5"/>
  <c r="CE78" i="5"/>
  <c r="CE79" i="5"/>
  <c r="CI79" i="5"/>
  <c r="CJ79" i="5"/>
  <c r="CE80" i="5"/>
  <c r="CI80" i="5"/>
  <c r="CJ80" i="5"/>
  <c r="CE81" i="5"/>
  <c r="CI81" i="5"/>
  <c r="CJ81" i="5"/>
  <c r="CH82" i="5"/>
  <c r="CE82" i="5"/>
  <c r="CI82" i="5"/>
  <c r="CJ82" i="5"/>
  <c r="CE58" i="5"/>
  <c r="CI58" i="5"/>
  <c r="CJ58" i="5"/>
  <c r="CH8" i="5"/>
  <c r="CE8" i="5"/>
  <c r="CI8" i="5"/>
  <c r="CJ8" i="5"/>
  <c r="CH9" i="5"/>
  <c r="CE9" i="5"/>
  <c r="CH10" i="5"/>
  <c r="CE10" i="5"/>
  <c r="CI10" i="5"/>
  <c r="CJ10" i="5"/>
  <c r="CH11" i="5"/>
  <c r="CE11" i="5"/>
  <c r="CI11" i="5"/>
  <c r="CJ11" i="5"/>
  <c r="CH12" i="5"/>
  <c r="CE12" i="5"/>
  <c r="CI12" i="5"/>
  <c r="CJ12" i="5"/>
  <c r="CH13" i="5"/>
  <c r="CE13" i="5"/>
  <c r="CI13" i="5"/>
  <c r="CJ13" i="5"/>
  <c r="CH14" i="5"/>
  <c r="CE14" i="5"/>
  <c r="CI14" i="5"/>
  <c r="CJ14" i="5"/>
  <c r="CH15" i="5"/>
  <c r="CE15" i="5"/>
  <c r="CI15" i="5"/>
  <c r="CJ15" i="5"/>
  <c r="CH16" i="5"/>
  <c r="CE16" i="5"/>
  <c r="CI16" i="5"/>
  <c r="CJ16" i="5"/>
  <c r="CH18" i="5"/>
  <c r="CE18" i="5"/>
  <c r="CI18" i="5"/>
  <c r="CJ18" i="5"/>
  <c r="CH19" i="5"/>
  <c r="CE19" i="5"/>
  <c r="CI19" i="5"/>
  <c r="CJ19" i="5"/>
  <c r="CH20" i="5"/>
  <c r="CE20" i="5"/>
  <c r="CI20" i="5"/>
  <c r="CJ20" i="5"/>
  <c r="CH21" i="5"/>
  <c r="CE21" i="5"/>
  <c r="CI21" i="5"/>
  <c r="CJ21" i="5"/>
  <c r="CH22" i="5"/>
  <c r="CE22" i="5"/>
  <c r="CI22" i="5"/>
  <c r="CJ22" i="5"/>
  <c r="CH23" i="5"/>
  <c r="CE23" i="5"/>
  <c r="CI23" i="5"/>
  <c r="CJ23" i="5"/>
  <c r="CH24" i="5"/>
  <c r="CE24" i="5"/>
  <c r="CI24" i="5"/>
  <c r="CJ24" i="5"/>
  <c r="CH25" i="5"/>
  <c r="CE25" i="5"/>
  <c r="CI25" i="5"/>
  <c r="CJ25" i="5"/>
  <c r="CH26" i="5"/>
  <c r="CE26" i="5"/>
  <c r="CI26" i="5"/>
  <c r="CJ26" i="5"/>
  <c r="CH27" i="5"/>
  <c r="CE27" i="5"/>
  <c r="CI27" i="5"/>
  <c r="CJ27" i="5"/>
  <c r="CH28" i="5"/>
  <c r="CE28" i="5"/>
  <c r="CI28" i="5"/>
  <c r="CJ28" i="5"/>
  <c r="CH29" i="5"/>
  <c r="CE29" i="5"/>
  <c r="CI29" i="5"/>
  <c r="CJ29" i="5"/>
  <c r="CH30" i="5"/>
  <c r="CE30" i="5"/>
  <c r="CI30" i="5"/>
  <c r="CJ30" i="5"/>
  <c r="CH31" i="5"/>
  <c r="CE31" i="5"/>
  <c r="CI31" i="5"/>
  <c r="CJ31" i="5"/>
  <c r="CH32" i="5"/>
  <c r="CE32" i="5"/>
  <c r="CI32" i="5"/>
  <c r="CJ32" i="5"/>
  <c r="CI33" i="5"/>
  <c r="CJ33" i="5"/>
  <c r="CI36" i="5"/>
  <c r="CJ36" i="5"/>
  <c r="CI37" i="5"/>
  <c r="CJ37" i="5"/>
  <c r="CH38" i="5"/>
  <c r="CE38" i="5"/>
  <c r="CI38" i="5"/>
  <c r="CJ38" i="5"/>
  <c r="CH39" i="5"/>
  <c r="CE39" i="5"/>
  <c r="CI39" i="5"/>
  <c r="CJ39" i="5"/>
  <c r="CH40" i="5"/>
  <c r="CE40" i="5"/>
  <c r="CI40" i="5"/>
  <c r="CJ40" i="5"/>
  <c r="CH41" i="5"/>
  <c r="CE41" i="5"/>
  <c r="CI41" i="5"/>
  <c r="CJ41" i="5"/>
  <c r="CH42" i="5"/>
  <c r="CE42" i="5"/>
  <c r="CI42" i="5"/>
  <c r="CJ42" i="5"/>
  <c r="CH43" i="5"/>
  <c r="CE43" i="5"/>
  <c r="CI44" i="5"/>
  <c r="CJ44" i="5"/>
  <c r="CI48" i="5"/>
  <c r="CJ48" i="5"/>
  <c r="CH7" i="5"/>
  <c r="CE7" i="5"/>
  <c r="CI7" i="5"/>
  <c r="CJ7" i="5"/>
  <c r="BR223" i="5"/>
  <c r="AF226" i="5"/>
  <c r="E13" i="6"/>
  <c r="BL226" i="5"/>
  <c r="BM226" i="5"/>
  <c r="BN226" i="5"/>
  <c r="BR226" i="5"/>
  <c r="BO226" i="5"/>
  <c r="AX227" i="4"/>
  <c r="BO223" i="5"/>
  <c r="BS223" i="5"/>
  <c r="CO7" i="4"/>
  <c r="CP7" i="4"/>
  <c r="E15" i="6"/>
  <c r="BY7" i="5"/>
  <c r="E11" i="6"/>
  <c r="E10" i="6"/>
  <c r="E8" i="6"/>
  <c r="E9" i="6"/>
  <c r="E7" i="6"/>
  <c r="E6" i="6"/>
  <c r="E5" i="6"/>
  <c r="E4" i="6"/>
  <c r="E3" i="6"/>
  <c r="CO8" i="4"/>
  <c r="CP8" i="4"/>
  <c r="CO9" i="4"/>
  <c r="CP9" i="4"/>
  <c r="CO10" i="4"/>
  <c r="CP10" i="4"/>
  <c r="CO11" i="4"/>
  <c r="CP11" i="4"/>
  <c r="CO12" i="4"/>
  <c r="CP12" i="4"/>
  <c r="CO13" i="4"/>
  <c r="CP13" i="4"/>
  <c r="CO14" i="4"/>
  <c r="CP14" i="4"/>
  <c r="CO15" i="4"/>
  <c r="CP15" i="4"/>
  <c r="CO16" i="4"/>
  <c r="CP16" i="4"/>
  <c r="CO17" i="4"/>
  <c r="CP17" i="4"/>
  <c r="CO18" i="4"/>
  <c r="CP18" i="4"/>
  <c r="CO19" i="4"/>
  <c r="CP19" i="4"/>
  <c r="CO20" i="4"/>
  <c r="CP20" i="4"/>
  <c r="CO21" i="4"/>
  <c r="CP21" i="4"/>
  <c r="CO22" i="4"/>
  <c r="CP22" i="4"/>
  <c r="CO23" i="4"/>
  <c r="CP23" i="4"/>
  <c r="CO24" i="4"/>
  <c r="CP24" i="4"/>
  <c r="CO25" i="4"/>
  <c r="CP25" i="4"/>
  <c r="CO26" i="4"/>
  <c r="CP26" i="4"/>
  <c r="CO27" i="4"/>
  <c r="CP27" i="4"/>
  <c r="CO28" i="4"/>
  <c r="CP28" i="4"/>
  <c r="CO29" i="4"/>
  <c r="CP29" i="4"/>
  <c r="CO30" i="4"/>
  <c r="CP30" i="4"/>
  <c r="CO31" i="4"/>
  <c r="CP31" i="4"/>
  <c r="CO32" i="4"/>
  <c r="CP32" i="4"/>
  <c r="CO33" i="4"/>
  <c r="CP33" i="4"/>
  <c r="CO34" i="4"/>
  <c r="CP34" i="4"/>
  <c r="CO35" i="4"/>
  <c r="CP35" i="4"/>
  <c r="CO36" i="4"/>
  <c r="CP36" i="4"/>
  <c r="CO37" i="4"/>
  <c r="CP37" i="4"/>
  <c r="CO38" i="4"/>
  <c r="CP38" i="4"/>
  <c r="CO39" i="4"/>
  <c r="CP39" i="4"/>
  <c r="CO40" i="4"/>
  <c r="CP40" i="4"/>
  <c r="CO41" i="4"/>
  <c r="CP41" i="4"/>
  <c r="CO42" i="4"/>
  <c r="CP42" i="4"/>
  <c r="CO43" i="4"/>
  <c r="CP43" i="4"/>
  <c r="CO44" i="4"/>
  <c r="CP44" i="4"/>
  <c r="CO48" i="4"/>
  <c r="CP48" i="4"/>
  <c r="CO59" i="4"/>
  <c r="CP59" i="4"/>
  <c r="CO60" i="4"/>
  <c r="CP60" i="4"/>
  <c r="CO61" i="4"/>
  <c r="CP61" i="4"/>
  <c r="CO62" i="4"/>
  <c r="CP62" i="4"/>
  <c r="CO63" i="4"/>
  <c r="CP63" i="4"/>
  <c r="CO64" i="4"/>
  <c r="CP64" i="4"/>
  <c r="CO65" i="4"/>
  <c r="CP65" i="4"/>
  <c r="CO66" i="4"/>
  <c r="CP66" i="4"/>
  <c r="CO67" i="4"/>
  <c r="CP67" i="4"/>
  <c r="CO68" i="4"/>
  <c r="CP68" i="4"/>
  <c r="CO69" i="4"/>
  <c r="CP69" i="4"/>
  <c r="CO70" i="4"/>
  <c r="CP70" i="4"/>
  <c r="CO71" i="4"/>
  <c r="CP71" i="4"/>
  <c r="CO72" i="4"/>
  <c r="CP72" i="4"/>
  <c r="CO73" i="4"/>
  <c r="CP73" i="4"/>
  <c r="CO74" i="4"/>
  <c r="CP74" i="4"/>
  <c r="CO75" i="4"/>
  <c r="CP75" i="4"/>
  <c r="CO76" i="4"/>
  <c r="CP76" i="4"/>
  <c r="CO77" i="4"/>
  <c r="CP77" i="4"/>
  <c r="CO78" i="4"/>
  <c r="CP78" i="4"/>
  <c r="CO79" i="4"/>
  <c r="CP79" i="4"/>
  <c r="CO80" i="4"/>
  <c r="CP80" i="4"/>
  <c r="CO81" i="4"/>
  <c r="CP81" i="4"/>
  <c r="CO82" i="4"/>
  <c r="CP82" i="4"/>
  <c r="CO83" i="4"/>
  <c r="CP83" i="4"/>
  <c r="CO93" i="4"/>
  <c r="CP93" i="4"/>
  <c r="CO94" i="4"/>
  <c r="CP94" i="4"/>
  <c r="CO95" i="4"/>
  <c r="CP95" i="4"/>
  <c r="CO96" i="4"/>
  <c r="CP96" i="4"/>
  <c r="CO97" i="4"/>
  <c r="CP97" i="4"/>
  <c r="CO98" i="4"/>
  <c r="CP98" i="4"/>
  <c r="CO99" i="4"/>
  <c r="CP99" i="4"/>
  <c r="CO100" i="4"/>
  <c r="CP100" i="4"/>
  <c r="CO101" i="4"/>
  <c r="CP101" i="4"/>
  <c r="CO102" i="4"/>
  <c r="CP102" i="4"/>
  <c r="CO103" i="4"/>
  <c r="CP103" i="4"/>
  <c r="CO104" i="4"/>
  <c r="CP104" i="4"/>
  <c r="CO105" i="4"/>
  <c r="CP105" i="4"/>
  <c r="CO106" i="4"/>
  <c r="CP106" i="4"/>
  <c r="CO107" i="4"/>
  <c r="CP107" i="4"/>
  <c r="CO108" i="4"/>
  <c r="CP108" i="4"/>
  <c r="CO109" i="4"/>
  <c r="CP109" i="4"/>
  <c r="CO110" i="4"/>
  <c r="CP110" i="4"/>
  <c r="CO111" i="4"/>
  <c r="CP111" i="4"/>
  <c r="CO112" i="4"/>
  <c r="CP112" i="4"/>
  <c r="CO113" i="4"/>
  <c r="CP113" i="4"/>
  <c r="CO114" i="4"/>
  <c r="CP114" i="4"/>
  <c r="CO115" i="4"/>
  <c r="CP115" i="4"/>
  <c r="CO116" i="4"/>
  <c r="CP116" i="4"/>
  <c r="CO117" i="4"/>
  <c r="CP117" i="4"/>
  <c r="CO128" i="4"/>
  <c r="CP128" i="4"/>
  <c r="CO129" i="4"/>
  <c r="CP129" i="4"/>
  <c r="CO130" i="4"/>
  <c r="CP130" i="4"/>
  <c r="CO131" i="4"/>
  <c r="CP131" i="4"/>
  <c r="CO132" i="4"/>
  <c r="CP132" i="4"/>
  <c r="CO133" i="4"/>
  <c r="CP133" i="4"/>
  <c r="CO134" i="4"/>
  <c r="CP134" i="4"/>
  <c r="CO135" i="4"/>
  <c r="CP135" i="4"/>
  <c r="CO136" i="4"/>
  <c r="CP136" i="4"/>
  <c r="CO137" i="4"/>
  <c r="CP137" i="4"/>
  <c r="CO138" i="4"/>
  <c r="CP138" i="4"/>
  <c r="CO139" i="4"/>
  <c r="CP139" i="4"/>
  <c r="CO140" i="4"/>
  <c r="CP140" i="4"/>
  <c r="CO141" i="4"/>
  <c r="CP141" i="4"/>
  <c r="CO142" i="4"/>
  <c r="CP142" i="4"/>
  <c r="CO156" i="4"/>
  <c r="CP157" i="4"/>
  <c r="CO158" i="4"/>
  <c r="CP158" i="4"/>
  <c r="CP159" i="4"/>
  <c r="CP160" i="4"/>
  <c r="CO161" i="4"/>
  <c r="CP161" i="4"/>
  <c r="CO162" i="4"/>
  <c r="CP162" i="4"/>
  <c r="CO163" i="4"/>
  <c r="CP163" i="4"/>
  <c r="CO164" i="4"/>
  <c r="CP164" i="4"/>
  <c r="CO165" i="4"/>
  <c r="CP165" i="4"/>
  <c r="CO166" i="4"/>
  <c r="CP166" i="4"/>
  <c r="CO167" i="4"/>
  <c r="CP167" i="4"/>
  <c r="CO168" i="4"/>
  <c r="CP168" i="4"/>
  <c r="CO169" i="4"/>
  <c r="CP169" i="4"/>
  <c r="CO170" i="4"/>
  <c r="CP170" i="4"/>
  <c r="CO171" i="4"/>
  <c r="CP171" i="4"/>
  <c r="CO172" i="4"/>
  <c r="CP172" i="4"/>
  <c r="CO173" i="4"/>
  <c r="CP173" i="4"/>
  <c r="CO174" i="4"/>
  <c r="CP174" i="4"/>
  <c r="CO175" i="4"/>
  <c r="CP175" i="4"/>
  <c r="CO176" i="4"/>
  <c r="CP176" i="4"/>
  <c r="CO177" i="4"/>
  <c r="CP177" i="4"/>
  <c r="CO191" i="4"/>
  <c r="CO192" i="4"/>
  <c r="CO193" i="4"/>
  <c r="CO194" i="4"/>
  <c r="CO195" i="4"/>
  <c r="CO196" i="4"/>
  <c r="CO197" i="4"/>
  <c r="CO198" i="4"/>
  <c r="CO199" i="4"/>
  <c r="CO201" i="4"/>
  <c r="CP201" i="4"/>
  <c r="CO210" i="4"/>
  <c r="CP210" i="4"/>
  <c r="CO211" i="4"/>
  <c r="CP211" i="4"/>
  <c r="CO212" i="4"/>
  <c r="CP212" i="4"/>
  <c r="CO213" i="4"/>
  <c r="CP213" i="4"/>
  <c r="CO214" i="4"/>
  <c r="CP214" i="4"/>
  <c r="CO215" i="4"/>
  <c r="CP215" i="4"/>
  <c r="CO216" i="4"/>
  <c r="CP216" i="4"/>
  <c r="CO217" i="4"/>
  <c r="CP217" i="4"/>
  <c r="CO218" i="4"/>
  <c r="CP218" i="4"/>
  <c r="CO219" i="4"/>
  <c r="CP219" i="4"/>
  <c r="CO220" i="4"/>
  <c r="CP220" i="4"/>
  <c r="CO221" i="4"/>
  <c r="CP221" i="4"/>
  <c r="CO222" i="4"/>
  <c r="CP222" i="4"/>
  <c r="CO223" i="4"/>
  <c r="CP223" i="4"/>
  <c r="CO224" i="4"/>
  <c r="CP224" i="4"/>
  <c r="CO225" i="4"/>
  <c r="CP225" i="4"/>
  <c r="CO226" i="4"/>
  <c r="CP226" i="4"/>
  <c r="CO227" i="4"/>
  <c r="CP227" i="4"/>
  <c r="CO228" i="4"/>
  <c r="CP228" i="4"/>
  <c r="CO229" i="4"/>
  <c r="CP229" i="4"/>
  <c r="CO230" i="4"/>
  <c r="CP230" i="4"/>
  <c r="CO231" i="4"/>
  <c r="CP231" i="4"/>
  <c r="CO232" i="4"/>
  <c r="CP232" i="4"/>
  <c r="CO233" i="4"/>
  <c r="CP233" i="4"/>
  <c r="CO234" i="4"/>
  <c r="CP234" i="4"/>
  <c r="CO236" i="4"/>
  <c r="CP236" i="4"/>
  <c r="CO237" i="4"/>
  <c r="CP237" i="4"/>
  <c r="CO238" i="4"/>
  <c r="CP238" i="4"/>
  <c r="CO239" i="4"/>
  <c r="CP239" i="4"/>
  <c r="CO240" i="4"/>
  <c r="CP240" i="4"/>
  <c r="CO241" i="4"/>
  <c r="CP241" i="4"/>
  <c r="CO242" i="4"/>
  <c r="CP242" i="4"/>
  <c r="CO243" i="4"/>
  <c r="CP243" i="4"/>
  <c r="CO244" i="4"/>
  <c r="CP244" i="4"/>
  <c r="CO245" i="4"/>
  <c r="CP245" i="4"/>
  <c r="CO246" i="4"/>
  <c r="CP246" i="4"/>
  <c r="CO247" i="4"/>
  <c r="CP247" i="4"/>
  <c r="CO248" i="4"/>
  <c r="CP248" i="4"/>
  <c r="CO249" i="4"/>
  <c r="CP249" i="4"/>
  <c r="CO250" i="4"/>
  <c r="CP250" i="4"/>
  <c r="CO251" i="4"/>
  <c r="CP251" i="4"/>
  <c r="CO252" i="4"/>
  <c r="CP252" i="4"/>
  <c r="CO253" i="4"/>
  <c r="CP253" i="4"/>
  <c r="CO254" i="4"/>
  <c r="CP254" i="4"/>
  <c r="CO255" i="4"/>
  <c r="CP255" i="4"/>
  <c r="CL9" i="4"/>
  <c r="CL10" i="4"/>
  <c r="CF11" i="4"/>
  <c r="CL11" i="4"/>
  <c r="CF12" i="4"/>
  <c r="CL12" i="4"/>
  <c r="CM12" i="4"/>
  <c r="CF14" i="4"/>
  <c r="CL14" i="4"/>
  <c r="CL16" i="4"/>
  <c r="CM16" i="4"/>
  <c r="CF17" i="4"/>
  <c r="CL18" i="4"/>
  <c r="CF19" i="4"/>
  <c r="CL19" i="4"/>
  <c r="CL21" i="4"/>
  <c r="CF22" i="4"/>
  <c r="CL22" i="4"/>
  <c r="CL25" i="4"/>
  <c r="CL26" i="4"/>
  <c r="CL27" i="4"/>
  <c r="CM27" i="4"/>
  <c r="CL30" i="4"/>
  <c r="CM30" i="4"/>
  <c r="CF31" i="4"/>
  <c r="CL32" i="4"/>
  <c r="CM32" i="4"/>
  <c r="CL34" i="4"/>
  <c r="CL35" i="4"/>
  <c r="CM35" i="4"/>
  <c r="CL36" i="4"/>
  <c r="CM36" i="4"/>
  <c r="CF37" i="4"/>
  <c r="CL37" i="4"/>
  <c r="CF38" i="4"/>
  <c r="CL38" i="4"/>
  <c r="CF39" i="4"/>
  <c r="CL39" i="4"/>
  <c r="CM39" i="4"/>
  <c r="CF40" i="4"/>
  <c r="CB40" i="5"/>
  <c r="CF41" i="4"/>
  <c r="CL41" i="4"/>
  <c r="CM41" i="4"/>
  <c r="CF42" i="4"/>
  <c r="CL42" i="4"/>
  <c r="CL43" i="4"/>
  <c r="CM43" i="4"/>
  <c r="CB44" i="5"/>
  <c r="CL48" i="4"/>
  <c r="CL59" i="4"/>
  <c r="CM59" i="4"/>
  <c r="CL60" i="4"/>
  <c r="CL61" i="4"/>
  <c r="CL62" i="4"/>
  <c r="CM62" i="4"/>
  <c r="CL63" i="4"/>
  <c r="CM63" i="4"/>
  <c r="CL64" i="4"/>
  <c r="CL65" i="4"/>
  <c r="CB65" i="5"/>
  <c r="CF67" i="4"/>
  <c r="CL67" i="4"/>
  <c r="CM67" i="4"/>
  <c r="CL68" i="4"/>
  <c r="CL69" i="4"/>
  <c r="CL70" i="4"/>
  <c r="CL71" i="4"/>
  <c r="CM71" i="4"/>
  <c r="CL72" i="4"/>
  <c r="CF73" i="4"/>
  <c r="CL73" i="4"/>
  <c r="CM73" i="4"/>
  <c r="CB73" i="5"/>
  <c r="CL75" i="4"/>
  <c r="CL76" i="4"/>
  <c r="CL77" i="4"/>
  <c r="CM77" i="4"/>
  <c r="CF78" i="4"/>
  <c r="CL78" i="4"/>
  <c r="CD79" i="4"/>
  <c r="CL79" i="4"/>
  <c r="CF80" i="4"/>
  <c r="CL80" i="4"/>
  <c r="CD82" i="4"/>
  <c r="CF82" i="4"/>
  <c r="CL82" i="4"/>
  <c r="CE82" i="4"/>
  <c r="CL93" i="4"/>
  <c r="CL94" i="4"/>
  <c r="CM94" i="4"/>
  <c r="CL95" i="4"/>
  <c r="CL97" i="4"/>
  <c r="CL98" i="4"/>
  <c r="CM98" i="4"/>
  <c r="CF99" i="4"/>
  <c r="CL99" i="4"/>
  <c r="CF100" i="4"/>
  <c r="CL101" i="4"/>
  <c r="CM101" i="4"/>
  <c r="CL103" i="4"/>
  <c r="CM103" i="4"/>
  <c r="CL105" i="4"/>
  <c r="CF106" i="4"/>
  <c r="CL106" i="4"/>
  <c r="CM106" i="4"/>
  <c r="CF108" i="4"/>
  <c r="CF109" i="4"/>
  <c r="CL109" i="4"/>
  <c r="CF110" i="4"/>
  <c r="CL110" i="4"/>
  <c r="CM110" i="4"/>
  <c r="CF111" i="4"/>
  <c r="CF113" i="4"/>
  <c r="CL113" i="4"/>
  <c r="CL114" i="4"/>
  <c r="CM114" i="4"/>
  <c r="CL115" i="4"/>
  <c r="CM115" i="4"/>
  <c r="CF116" i="4"/>
  <c r="CD117" i="4"/>
  <c r="CE117" i="4"/>
  <c r="CF117" i="4"/>
  <c r="CL117" i="4"/>
  <c r="CB127" i="5"/>
  <c r="CL128" i="4"/>
  <c r="CL130" i="4"/>
  <c r="CM130" i="4"/>
  <c r="CB130" i="5"/>
  <c r="CF130" i="5"/>
  <c r="CG130" i="5"/>
  <c r="CL132" i="4"/>
  <c r="CM132" i="4"/>
  <c r="CF133" i="4"/>
  <c r="CL133" i="4"/>
  <c r="CL134" i="4"/>
  <c r="CM134" i="4"/>
  <c r="CB134" i="5"/>
  <c r="CL135" i="4"/>
  <c r="CM135" i="4"/>
  <c r="CB135" i="5"/>
  <c r="CF135" i="5"/>
  <c r="CG135" i="5"/>
  <c r="CL136" i="4"/>
  <c r="CM136" i="4"/>
  <c r="CL138" i="4"/>
  <c r="CM138" i="4"/>
  <c r="CL139" i="4"/>
  <c r="CM139" i="4"/>
  <c r="CF140" i="4"/>
  <c r="CL140" i="4"/>
  <c r="CM140" i="4"/>
  <c r="CD142" i="4"/>
  <c r="CE142" i="4"/>
  <c r="CF142" i="4"/>
  <c r="CB154" i="5"/>
  <c r="CL155" i="4"/>
  <c r="CL157" i="4"/>
  <c r="CM157" i="4"/>
  <c r="CL159" i="4"/>
  <c r="CM159" i="4"/>
  <c r="CD160" i="4"/>
  <c r="CL160" i="4"/>
  <c r="CL161" i="4"/>
  <c r="CM161" i="4"/>
  <c r="CL162" i="4"/>
  <c r="CL163" i="4"/>
  <c r="CM163" i="4"/>
  <c r="CL164" i="4"/>
  <c r="CL165" i="4"/>
  <c r="CF166" i="4"/>
  <c r="CL166" i="4"/>
  <c r="CM166" i="4"/>
  <c r="CB166" i="5"/>
  <c r="CL167" i="4"/>
  <c r="CM167" i="4"/>
  <c r="CL168" i="4"/>
  <c r="CL169" i="4"/>
  <c r="CL170" i="4"/>
  <c r="CM170" i="4"/>
  <c r="CL171" i="4"/>
  <c r="CM171" i="4"/>
  <c r="CL172" i="4"/>
  <c r="CF174" i="4"/>
  <c r="CF175" i="4"/>
  <c r="CL175" i="4"/>
  <c r="CM175" i="4"/>
  <c r="CD176" i="4"/>
  <c r="CF176" i="4"/>
  <c r="CL176" i="4"/>
  <c r="CE176" i="4"/>
  <c r="CL192" i="4"/>
  <c r="CM192" i="4"/>
  <c r="CL193" i="4"/>
  <c r="CL194" i="4"/>
  <c r="CB191" i="5"/>
  <c r="CF191" i="5"/>
  <c r="CF196" i="4"/>
  <c r="CF198" i="4"/>
  <c r="CL198" i="4"/>
  <c r="CF199" i="4"/>
  <c r="CB195" i="5"/>
  <c r="CD200" i="4"/>
  <c r="CE200" i="4"/>
  <c r="CE255" i="4"/>
  <c r="CL210" i="4"/>
  <c r="CM210" i="4"/>
  <c r="CL212" i="4"/>
  <c r="CM212" i="4"/>
  <c r="CL213" i="4"/>
  <c r="CL214" i="4"/>
  <c r="CL215" i="4"/>
  <c r="CM215" i="4"/>
  <c r="CF217" i="4"/>
  <c r="CB213" i="5"/>
  <c r="CL218" i="4"/>
  <c r="CF219" i="4"/>
  <c r="CL219" i="4"/>
  <c r="CM219" i="4"/>
  <c r="CF220" i="4"/>
  <c r="CB217" i="5"/>
  <c r="CF222" i="4"/>
  <c r="CL222" i="4"/>
  <c r="CL223" i="4"/>
  <c r="CF224" i="4"/>
  <c r="CL224" i="4"/>
  <c r="CL225" i="4"/>
  <c r="CF226" i="4"/>
  <c r="CL226" i="4"/>
  <c r="CF227" i="4"/>
  <c r="CL227" i="4"/>
  <c r="CM227" i="4"/>
  <c r="CF228" i="4"/>
  <c r="CB225" i="5"/>
  <c r="CL230" i="4"/>
  <c r="CF232" i="4"/>
  <c r="CL232" i="4"/>
  <c r="CM232" i="4"/>
  <c r="CL234" i="4"/>
  <c r="CD235" i="4"/>
  <c r="CE235" i="4"/>
  <c r="CL235" i="4"/>
  <c r="CL240" i="4"/>
  <c r="CL241" i="4"/>
  <c r="CL242" i="4"/>
  <c r="CL243" i="4"/>
  <c r="CL244" i="4"/>
  <c r="CL245" i="4"/>
  <c r="CL246" i="4"/>
  <c r="CL247" i="4"/>
  <c r="CL248" i="4"/>
  <c r="CL249" i="4"/>
  <c r="CL250" i="4"/>
  <c r="CL251" i="4"/>
  <c r="CL252" i="4"/>
  <c r="CL253" i="4"/>
  <c r="CL254" i="4"/>
  <c r="CI160" i="4"/>
  <c r="CI25" i="4"/>
  <c r="BX43" i="5"/>
  <c r="BY43" i="5"/>
  <c r="CB43" i="5"/>
  <c r="CC43" i="5"/>
  <c r="CD43" i="5"/>
  <c r="BZ43" i="5"/>
  <c r="CA43" i="5"/>
  <c r="BE159" i="4"/>
  <c r="BZ159" i="4"/>
  <c r="BZ157" i="4"/>
  <c r="BE157" i="4"/>
  <c r="BZ79" i="4"/>
  <c r="BZ25" i="4"/>
  <c r="BX25" i="4"/>
  <c r="BZ100" i="4"/>
  <c r="BZ65" i="4"/>
  <c r="CG43" i="4"/>
  <c r="CH43" i="4"/>
  <c r="D19" i="10"/>
  <c r="D18" i="10"/>
  <c r="E13" i="10"/>
  <c r="E14" i="10"/>
  <c r="E15" i="10"/>
  <c r="D12" i="10"/>
  <c r="CB228" i="5"/>
  <c r="CF228" i="5"/>
  <c r="CG228" i="5"/>
  <c r="CB226" i="5"/>
  <c r="CB222" i="5"/>
  <c r="CF222" i="5"/>
  <c r="CB221" i="5"/>
  <c r="CB220" i="5"/>
  <c r="CB219" i="5"/>
  <c r="CB218" i="5"/>
  <c r="CB211" i="5"/>
  <c r="CB210" i="5"/>
  <c r="CB209" i="5"/>
  <c r="CF209" i="5"/>
  <c r="CG209" i="5"/>
  <c r="CB208" i="5"/>
  <c r="CF208" i="5"/>
  <c r="CG208" i="5"/>
  <c r="CB194" i="5"/>
  <c r="CM194" i="4"/>
  <c r="CB189" i="5"/>
  <c r="CB171" i="5"/>
  <c r="CB170" i="5"/>
  <c r="CB169" i="5"/>
  <c r="CF169" i="5"/>
  <c r="CG169" i="5"/>
  <c r="CB168" i="5"/>
  <c r="CB167" i="5"/>
  <c r="CB164" i="5"/>
  <c r="CB163" i="5"/>
  <c r="CB162" i="5"/>
  <c r="CB161" i="5"/>
  <c r="CB160" i="5"/>
  <c r="CB158" i="5"/>
  <c r="CF158" i="5"/>
  <c r="CG158" i="5"/>
  <c r="CB139" i="5"/>
  <c r="CF139" i="5"/>
  <c r="CG139" i="5"/>
  <c r="CB138" i="5"/>
  <c r="CB137" i="5"/>
  <c r="CB133" i="5"/>
  <c r="CB132" i="5"/>
  <c r="CB131" i="5"/>
  <c r="CB129" i="5"/>
  <c r="CG104" i="5"/>
  <c r="CG102" i="5"/>
  <c r="CM80" i="4"/>
  <c r="CB77" i="5"/>
  <c r="CB76" i="5"/>
  <c r="CF76" i="5"/>
  <c r="CG76" i="5"/>
  <c r="CB75" i="5"/>
  <c r="CB74" i="5"/>
  <c r="CB71" i="5"/>
  <c r="CB70" i="5"/>
  <c r="CF70" i="5"/>
  <c r="CG70" i="5"/>
  <c r="CB69" i="5"/>
  <c r="CF69" i="5"/>
  <c r="CG69" i="5"/>
  <c r="CB68" i="5"/>
  <c r="CF68" i="5"/>
  <c r="CG68" i="5"/>
  <c r="CB67" i="5"/>
  <c r="CF67" i="5"/>
  <c r="CG67" i="5"/>
  <c r="CB64" i="5"/>
  <c r="CB63" i="5"/>
  <c r="CB62" i="5"/>
  <c r="CB61" i="5"/>
  <c r="CB60" i="5"/>
  <c r="CF60" i="5"/>
  <c r="CG60" i="5"/>
  <c r="CB59" i="5"/>
  <c r="CF59" i="5"/>
  <c r="CG59" i="5"/>
  <c r="CB42" i="5"/>
  <c r="CB39" i="5"/>
  <c r="CB38" i="5"/>
  <c r="CB37" i="5"/>
  <c r="CB36" i="5"/>
  <c r="CB30" i="5"/>
  <c r="CF30" i="5"/>
  <c r="CG30" i="5"/>
  <c r="CB27" i="5"/>
  <c r="CB26" i="5"/>
  <c r="CB22" i="5"/>
  <c r="CB21" i="5"/>
  <c r="CB19" i="5"/>
  <c r="CB18" i="5"/>
  <c r="CB14" i="5"/>
  <c r="CB13" i="5"/>
  <c r="CB11" i="5"/>
  <c r="CB10" i="5"/>
  <c r="CB9" i="5"/>
  <c r="CA7" i="4"/>
  <c r="CB7" i="4"/>
  <c r="CB188" i="5"/>
  <c r="CB66" i="5"/>
  <c r="CB215" i="5"/>
  <c r="CB214" i="5"/>
  <c r="CF214" i="5"/>
  <c r="CG214" i="5"/>
  <c r="CM218" i="4"/>
  <c r="CM70" i="4"/>
  <c r="CB223" i="5"/>
  <c r="CB41" i="5"/>
  <c r="CB32" i="5"/>
  <c r="CB58" i="5"/>
  <c r="CF58" i="5"/>
  <c r="CG58" i="5"/>
  <c r="CB16" i="5"/>
  <c r="CF16" i="5"/>
  <c r="CG35" i="4"/>
  <c r="CH35" i="4"/>
  <c r="CB165" i="5"/>
  <c r="CB173" i="5"/>
  <c r="CF173" i="5"/>
  <c r="CG173" i="5"/>
  <c r="CB24" i="5"/>
  <c r="CF24" i="5"/>
  <c r="CG24" i="5"/>
  <c r="CB190" i="5"/>
  <c r="CM26" i="4"/>
  <c r="CB79" i="5"/>
  <c r="CG18" i="4"/>
  <c r="CH18" i="4"/>
  <c r="CM169" i="4"/>
  <c r="CM9" i="4"/>
  <c r="CM165" i="4"/>
  <c r="CM21" i="4"/>
  <c r="CM34" i="4"/>
  <c r="CM38" i="4"/>
  <c r="CM42" i="4"/>
  <c r="CG42" i="4"/>
  <c r="CH42" i="4"/>
  <c r="CM61" i="4"/>
  <c r="CM65" i="4"/>
  <c r="CM69" i="4"/>
  <c r="CM133" i="4"/>
  <c r="CM95" i="4"/>
  <c r="CM99" i="4"/>
  <c r="CM213" i="4"/>
  <c r="CM225" i="4"/>
  <c r="CM22" i="4"/>
  <c r="CM193" i="4"/>
  <c r="CM226" i="4"/>
  <c r="CM18" i="4"/>
  <c r="CM19" i="4"/>
  <c r="CM37" i="4"/>
  <c r="CM60" i="4"/>
  <c r="CM64" i="4"/>
  <c r="CM68" i="4"/>
  <c r="CM72" i="4"/>
  <c r="CM76" i="4"/>
  <c r="CM128" i="4"/>
  <c r="CM164" i="4"/>
  <c r="CM168" i="4"/>
  <c r="CM172" i="4"/>
  <c r="CM224" i="4"/>
  <c r="CM78" i="4"/>
  <c r="CM14" i="4"/>
  <c r="CM162" i="4"/>
  <c r="CM214" i="4"/>
  <c r="CM222" i="4"/>
  <c r="CM230" i="4"/>
  <c r="CM11" i="4"/>
  <c r="CM93" i="4"/>
  <c r="CM97" i="4"/>
  <c r="CM105" i="4"/>
  <c r="CM109" i="4"/>
  <c r="CM113" i="4"/>
  <c r="CM198" i="4"/>
  <c r="CM223" i="4"/>
  <c r="CG41" i="4"/>
  <c r="CH41" i="4"/>
  <c r="CM10" i="4"/>
  <c r="CM75" i="4"/>
  <c r="CM155" i="4"/>
  <c r="AD41" i="5"/>
  <c r="AD8" i="5"/>
  <c r="AD9" i="5"/>
  <c r="AD11" i="5"/>
  <c r="AD12" i="5"/>
  <c r="AD13" i="5"/>
  <c r="AD14" i="5"/>
  <c r="AD15" i="5"/>
  <c r="AD16" i="5"/>
  <c r="AD17" i="5"/>
  <c r="AD18" i="5"/>
  <c r="AD19" i="5"/>
  <c r="AD20" i="5"/>
  <c r="AD21" i="5"/>
  <c r="AD22" i="5"/>
  <c r="AD23" i="5"/>
  <c r="AD24" i="5"/>
  <c r="AD25" i="5"/>
  <c r="AD26" i="5"/>
  <c r="AD27" i="5"/>
  <c r="AD28" i="5"/>
  <c r="AD29" i="5"/>
  <c r="AD30" i="5"/>
  <c r="AD31" i="5"/>
  <c r="AD32" i="5"/>
  <c r="AD34" i="5"/>
  <c r="AD35" i="5"/>
  <c r="AD36" i="5"/>
  <c r="AD37" i="5"/>
  <c r="AD38" i="5"/>
  <c r="AD39" i="5"/>
  <c r="AD40" i="5"/>
  <c r="AD42" i="5"/>
  <c r="AD44" i="5"/>
  <c r="AD7" i="5"/>
  <c r="CI117" i="4"/>
  <c r="CI176" i="4"/>
  <c r="CI200" i="4"/>
  <c r="CI235" i="4"/>
  <c r="B7" i="5"/>
  <c r="C7" i="5"/>
  <c r="I7" i="5"/>
  <c r="L7" i="5"/>
  <c r="N7" i="5"/>
  <c r="O7" i="5"/>
  <c r="U7" i="5"/>
  <c r="X7" i="5"/>
  <c r="AA7" i="5"/>
  <c r="AE7" i="5"/>
  <c r="AK7" i="5"/>
  <c r="AL7" i="5"/>
  <c r="AN7" i="5"/>
  <c r="AN8" i="5"/>
  <c r="AN9" i="5"/>
  <c r="AN10" i="5"/>
  <c r="AN11" i="5"/>
  <c r="AN12" i="5"/>
  <c r="AN13" i="5"/>
  <c r="AN14" i="5"/>
  <c r="AN15" i="5"/>
  <c r="AN16" i="5"/>
  <c r="AN18" i="5"/>
  <c r="AN19" i="5"/>
  <c r="AN20" i="5"/>
  <c r="AN21" i="5"/>
  <c r="AN22" i="5"/>
  <c r="AN23" i="5"/>
  <c r="AN24" i="5"/>
  <c r="AN25" i="5"/>
  <c r="AN26" i="5"/>
  <c r="AN27" i="5"/>
  <c r="AN28" i="5"/>
  <c r="AN29" i="5"/>
  <c r="AN30" i="5"/>
  <c r="AN31" i="5"/>
  <c r="AN32" i="5"/>
  <c r="AN34" i="5"/>
  <c r="AN35" i="5"/>
  <c r="AN36" i="5"/>
  <c r="AN37" i="5"/>
  <c r="AN39" i="5"/>
  <c r="AN48" i="5"/>
  <c r="AO7" i="5"/>
  <c r="AZ7" i="5"/>
  <c r="AO8" i="5"/>
  <c r="AZ8" i="5"/>
  <c r="AO9" i="5"/>
  <c r="AZ9" i="5"/>
  <c r="AO10" i="5"/>
  <c r="AZ10" i="5"/>
  <c r="AO11" i="5"/>
  <c r="AZ11" i="5"/>
  <c r="AO12" i="5"/>
  <c r="AZ12" i="5"/>
  <c r="AO13" i="5"/>
  <c r="AZ13" i="5"/>
  <c r="AO14" i="5"/>
  <c r="AZ14" i="5"/>
  <c r="AO15" i="5"/>
  <c r="AZ15" i="5"/>
  <c r="AO16" i="5"/>
  <c r="AZ16" i="5"/>
  <c r="AO18" i="5"/>
  <c r="AZ18" i="5"/>
  <c r="AO19" i="5"/>
  <c r="AZ19" i="5"/>
  <c r="AO20" i="5"/>
  <c r="AZ20" i="5"/>
  <c r="AO21" i="5"/>
  <c r="AZ21" i="5"/>
  <c r="AO22" i="5"/>
  <c r="AZ22" i="5"/>
  <c r="AO23" i="5"/>
  <c r="AZ23" i="5"/>
  <c r="AO24" i="5"/>
  <c r="AZ24" i="5"/>
  <c r="AO25" i="5"/>
  <c r="AZ25" i="5"/>
  <c r="AO26" i="5"/>
  <c r="AZ26" i="5"/>
  <c r="AO27" i="5"/>
  <c r="AZ27" i="5"/>
  <c r="AO28" i="5"/>
  <c r="AZ28" i="5"/>
  <c r="AO29" i="5"/>
  <c r="AZ29" i="5"/>
  <c r="AO30" i="5"/>
  <c r="AZ30" i="5"/>
  <c r="AO31" i="5"/>
  <c r="AZ31" i="5"/>
  <c r="AO32" i="5"/>
  <c r="AZ32" i="5"/>
  <c r="AO34" i="5"/>
  <c r="AZ34" i="5"/>
  <c r="AO35" i="5"/>
  <c r="AZ35" i="5"/>
  <c r="AO36" i="5"/>
  <c r="AZ36" i="5"/>
  <c r="AO37" i="5"/>
  <c r="AZ37" i="5"/>
  <c r="AO39" i="5"/>
  <c r="AZ39" i="5"/>
  <c r="AZ48" i="5"/>
  <c r="AS50" i="5"/>
  <c r="AY50" i="5"/>
  <c r="AP7" i="5"/>
  <c r="AQ7" i="5"/>
  <c r="BE7" i="5"/>
  <c r="BJ7" i="5"/>
  <c r="BL7" i="5"/>
  <c r="BO7" i="5"/>
  <c r="BR7" i="5"/>
  <c r="BS7" i="5"/>
  <c r="BT7" i="5"/>
  <c r="B8" i="5"/>
  <c r="C8" i="5"/>
  <c r="I8" i="5"/>
  <c r="L8" i="5"/>
  <c r="O8" i="5"/>
  <c r="U8" i="5"/>
  <c r="X8" i="5"/>
  <c r="AA8" i="5"/>
  <c r="AB8" i="5"/>
  <c r="AC8" i="5"/>
  <c r="AE8" i="5"/>
  <c r="AK8" i="5"/>
  <c r="AL8" i="5"/>
  <c r="AP8" i="5"/>
  <c r="AQ8" i="5"/>
  <c r="BE8" i="5"/>
  <c r="BJ8" i="5"/>
  <c r="BL8" i="5"/>
  <c r="BO8" i="5"/>
  <c r="BR8" i="5"/>
  <c r="BZ8" i="5"/>
  <c r="CA8" i="5"/>
  <c r="B9" i="5"/>
  <c r="C9" i="5"/>
  <c r="I9" i="5"/>
  <c r="L9" i="5"/>
  <c r="O9" i="5"/>
  <c r="U9" i="5"/>
  <c r="X9" i="5"/>
  <c r="AA9" i="5"/>
  <c r="AE9" i="5"/>
  <c r="AK9" i="5"/>
  <c r="AL9" i="5"/>
  <c r="AR9" i="4"/>
  <c r="AS9" i="4"/>
  <c r="AS9" i="5"/>
  <c r="BB9" i="5"/>
  <c r="AF9" i="5"/>
  <c r="BC9" i="5"/>
  <c r="AP9" i="5"/>
  <c r="AQ9" i="5"/>
  <c r="BE9" i="5"/>
  <c r="BJ9" i="5"/>
  <c r="BL9" i="5"/>
  <c r="BO9" i="5"/>
  <c r="BR9" i="5"/>
  <c r="BZ9" i="5"/>
  <c r="CA9" i="5"/>
  <c r="B10" i="5"/>
  <c r="C10" i="5"/>
  <c r="I10" i="5"/>
  <c r="L10" i="5"/>
  <c r="O10" i="5"/>
  <c r="U10" i="5"/>
  <c r="AE10" i="5"/>
  <c r="AK10" i="5"/>
  <c r="AL10" i="5"/>
  <c r="AP10" i="5"/>
  <c r="AQ10" i="5"/>
  <c r="BE10" i="5"/>
  <c r="BJ10" i="5"/>
  <c r="BL10" i="5"/>
  <c r="BO10" i="5"/>
  <c r="BR10" i="5"/>
  <c r="BZ10" i="5"/>
  <c r="CA10" i="5"/>
  <c r="CF10" i="5"/>
  <c r="CG10" i="5"/>
  <c r="X11" i="5"/>
  <c r="AA11" i="5"/>
  <c r="AE11" i="5"/>
  <c r="AK11" i="5"/>
  <c r="AL11" i="5"/>
  <c r="AP11" i="5"/>
  <c r="AQ11" i="5"/>
  <c r="BE11" i="5"/>
  <c r="BJ11" i="5"/>
  <c r="BL11" i="5"/>
  <c r="BO11" i="5"/>
  <c r="BR11" i="5"/>
  <c r="X12" i="5"/>
  <c r="AA12" i="5"/>
  <c r="AE12" i="5"/>
  <c r="AF12" i="5"/>
  <c r="BO12" i="5"/>
  <c r="BP12" i="5"/>
  <c r="BQ12" i="5"/>
  <c r="AI12" i="5"/>
  <c r="AJ12" i="5"/>
  <c r="AK12" i="5"/>
  <c r="AL12" i="5"/>
  <c r="AP12" i="5"/>
  <c r="AQ12" i="5"/>
  <c r="BE12" i="5"/>
  <c r="BJ12" i="5"/>
  <c r="BL12" i="5"/>
  <c r="BR12" i="5"/>
  <c r="L13" i="5"/>
  <c r="O13" i="5"/>
  <c r="U13" i="5"/>
  <c r="X13" i="5"/>
  <c r="AA13" i="5"/>
  <c r="AE13" i="5"/>
  <c r="AK13" i="5"/>
  <c r="AL13" i="5"/>
  <c r="AR13" i="4"/>
  <c r="AS13" i="4"/>
  <c r="AS13" i="5"/>
  <c r="AF13" i="5"/>
  <c r="AV13" i="5"/>
  <c r="BA13" i="5"/>
  <c r="AP13" i="5"/>
  <c r="AQ13" i="5"/>
  <c r="BE13" i="5"/>
  <c r="BJ13" i="5"/>
  <c r="BO13" i="5"/>
  <c r="BR13" i="5"/>
  <c r="BZ13" i="5"/>
  <c r="CA13" i="5"/>
  <c r="B14" i="5"/>
  <c r="C14" i="5"/>
  <c r="F14" i="5"/>
  <c r="I14" i="5"/>
  <c r="L14" i="5"/>
  <c r="O14" i="5"/>
  <c r="R14" i="5"/>
  <c r="U14" i="5"/>
  <c r="X14" i="5"/>
  <c r="AA14" i="5"/>
  <c r="AE14" i="5"/>
  <c r="AI14" i="5"/>
  <c r="AJ14" i="5"/>
  <c r="AK14" i="5"/>
  <c r="AL14" i="5"/>
  <c r="AM14" i="5"/>
  <c r="AP14" i="5"/>
  <c r="AQ14" i="5"/>
  <c r="BJ14" i="5"/>
  <c r="BL14" i="5"/>
  <c r="BO14" i="5"/>
  <c r="BR14" i="5"/>
  <c r="C15" i="5"/>
  <c r="L15" i="5"/>
  <c r="O15" i="5"/>
  <c r="U15" i="5"/>
  <c r="X15" i="5"/>
  <c r="AA15" i="5"/>
  <c r="AE15" i="5"/>
  <c r="AI15" i="5"/>
  <c r="AJ15" i="5"/>
  <c r="AK15" i="5"/>
  <c r="AL15" i="5"/>
  <c r="AR15" i="4"/>
  <c r="AS15" i="4"/>
  <c r="AS15" i="5"/>
  <c r="BB15" i="5"/>
  <c r="AP15" i="5"/>
  <c r="AQ15" i="5"/>
  <c r="BE15" i="5"/>
  <c r="BJ15" i="5"/>
  <c r="BL15" i="5"/>
  <c r="BO15" i="5"/>
  <c r="BR15" i="5"/>
  <c r="BX15" i="5"/>
  <c r="L16" i="5"/>
  <c r="O16" i="5"/>
  <c r="U16" i="5"/>
  <c r="X16" i="5"/>
  <c r="AA16" i="5"/>
  <c r="AE16" i="5"/>
  <c r="AI16" i="5"/>
  <c r="AJ16" i="5"/>
  <c r="AK16" i="5"/>
  <c r="AL16" i="5"/>
  <c r="AP16" i="5"/>
  <c r="AQ16" i="5"/>
  <c r="BE16" i="5"/>
  <c r="BJ16" i="5"/>
  <c r="BL16" i="5"/>
  <c r="BO16" i="5"/>
  <c r="BR16" i="5"/>
  <c r="BZ16" i="5"/>
  <c r="CA16" i="5"/>
  <c r="CG16" i="5"/>
  <c r="L17" i="5"/>
  <c r="O17" i="5"/>
  <c r="U17" i="5"/>
  <c r="X17" i="5"/>
  <c r="AA17" i="5"/>
  <c r="BK17" i="5"/>
  <c r="BL17" i="5"/>
  <c r="BO17" i="5"/>
  <c r="BR17" i="5"/>
  <c r="X18" i="5"/>
  <c r="AA18" i="5"/>
  <c r="AE18" i="5"/>
  <c r="AF18" i="5"/>
  <c r="AK18" i="5"/>
  <c r="AL18" i="5"/>
  <c r="AP18" i="5"/>
  <c r="AQ18" i="5"/>
  <c r="BE18" i="5"/>
  <c r="BJ18" i="5"/>
  <c r="BO18" i="5"/>
  <c r="BR18" i="5"/>
  <c r="BZ18" i="5"/>
  <c r="CA18" i="5"/>
  <c r="B19" i="5"/>
  <c r="C19" i="5"/>
  <c r="F19" i="5"/>
  <c r="I19" i="5"/>
  <c r="L19" i="5"/>
  <c r="O19" i="5"/>
  <c r="U19" i="5"/>
  <c r="X19" i="5"/>
  <c r="AA19" i="5"/>
  <c r="AE19" i="5"/>
  <c r="AI19" i="5"/>
  <c r="AJ19" i="5"/>
  <c r="AK19" i="5"/>
  <c r="AL19" i="5"/>
  <c r="AM19" i="5"/>
  <c r="AP19" i="5"/>
  <c r="AQ19" i="5"/>
  <c r="BJ19" i="5"/>
  <c r="BL19" i="5"/>
  <c r="BO19" i="5"/>
  <c r="BR19" i="5"/>
  <c r="L20" i="5"/>
  <c r="O20" i="5"/>
  <c r="U20" i="5"/>
  <c r="X20" i="5"/>
  <c r="AA20" i="5"/>
  <c r="AE20" i="5"/>
  <c r="AF20" i="5"/>
  <c r="AK20" i="5"/>
  <c r="AL20" i="5"/>
  <c r="AP20" i="5"/>
  <c r="AQ20" i="5"/>
  <c r="BE20" i="5"/>
  <c r="BJ20" i="5"/>
  <c r="BL20" i="5"/>
  <c r="BO20" i="5"/>
  <c r="BR20" i="5"/>
  <c r="BZ20" i="5"/>
  <c r="CA20" i="5"/>
  <c r="B21" i="5"/>
  <c r="L21" i="5"/>
  <c r="O21" i="5"/>
  <c r="U21" i="5"/>
  <c r="X21" i="5"/>
  <c r="AA21" i="5"/>
  <c r="AE21" i="5"/>
  <c r="AF21" i="5"/>
  <c r="AI21" i="5"/>
  <c r="AJ21" i="5"/>
  <c r="AK21" i="5"/>
  <c r="AL21" i="5"/>
  <c r="AP21" i="5"/>
  <c r="AQ21" i="5"/>
  <c r="BE21" i="5"/>
  <c r="BJ21" i="5"/>
  <c r="BL21" i="5"/>
  <c r="BR21" i="5"/>
  <c r="BW21" i="5"/>
  <c r="CF21" i="5"/>
  <c r="CG21" i="5"/>
  <c r="L22" i="5"/>
  <c r="O22" i="5"/>
  <c r="U22" i="5"/>
  <c r="X22" i="5"/>
  <c r="AA22" i="5"/>
  <c r="AE22" i="5"/>
  <c r="AI22" i="5"/>
  <c r="AJ22" i="5"/>
  <c r="AK22" i="5"/>
  <c r="AL22" i="5"/>
  <c r="AP22" i="5"/>
  <c r="AQ22" i="5"/>
  <c r="BJ22" i="5"/>
  <c r="BL22" i="5"/>
  <c r="BO22" i="5"/>
  <c r="BR22" i="5"/>
  <c r="C23" i="5"/>
  <c r="F23" i="5"/>
  <c r="I23" i="5"/>
  <c r="L23" i="5"/>
  <c r="O23" i="5"/>
  <c r="U23" i="5"/>
  <c r="X23" i="5"/>
  <c r="AA23" i="5"/>
  <c r="AE23" i="5"/>
  <c r="AI23" i="5"/>
  <c r="AJ23" i="5"/>
  <c r="AK23" i="5"/>
  <c r="AL23" i="5"/>
  <c r="AP23" i="5"/>
  <c r="AQ23" i="5"/>
  <c r="BE23" i="5"/>
  <c r="BJ23" i="5"/>
  <c r="BO23" i="5"/>
  <c r="BR23" i="5"/>
  <c r="BZ23" i="5"/>
  <c r="CA23" i="5"/>
  <c r="I24" i="5"/>
  <c r="L24" i="5"/>
  <c r="O24" i="5"/>
  <c r="R24" i="5"/>
  <c r="U24" i="5"/>
  <c r="X24" i="5"/>
  <c r="AA24" i="5"/>
  <c r="AE24" i="5"/>
  <c r="AI24" i="5"/>
  <c r="AJ24" i="5"/>
  <c r="AK24" i="5"/>
  <c r="AL24" i="5"/>
  <c r="AP24" i="5"/>
  <c r="AQ24" i="5"/>
  <c r="BE24" i="5"/>
  <c r="BJ24" i="5"/>
  <c r="BR24" i="5"/>
  <c r="BZ24" i="5"/>
  <c r="CA24" i="5"/>
  <c r="L25" i="5"/>
  <c r="O25" i="5"/>
  <c r="U25" i="5"/>
  <c r="X25" i="5"/>
  <c r="AA25" i="5"/>
  <c r="AE25" i="5"/>
  <c r="AK25" i="5"/>
  <c r="AL25" i="5"/>
  <c r="AP25" i="5"/>
  <c r="AQ25" i="5"/>
  <c r="BE25" i="5"/>
  <c r="BJ25" i="5"/>
  <c r="BL25" i="5"/>
  <c r="BW25" i="5"/>
  <c r="B26" i="5"/>
  <c r="C26" i="5"/>
  <c r="F26" i="5"/>
  <c r="I26" i="5"/>
  <c r="L26" i="5"/>
  <c r="O26" i="5"/>
  <c r="U26" i="5"/>
  <c r="X26" i="5"/>
  <c r="AA26" i="5"/>
  <c r="AE26" i="5"/>
  <c r="AF26" i="5"/>
  <c r="AI26" i="5"/>
  <c r="AJ26" i="5"/>
  <c r="AK26" i="5"/>
  <c r="AL26" i="5"/>
  <c r="AP26" i="5"/>
  <c r="AQ26" i="5"/>
  <c r="BE26" i="5"/>
  <c r="BJ26" i="5"/>
  <c r="BL26" i="5"/>
  <c r="BO26" i="5"/>
  <c r="BR26" i="5"/>
  <c r="BZ26" i="5"/>
  <c r="CA26" i="5"/>
  <c r="C27" i="5"/>
  <c r="I27" i="5"/>
  <c r="L27" i="5"/>
  <c r="O27" i="5"/>
  <c r="U27" i="5"/>
  <c r="X27" i="5"/>
  <c r="AA27" i="5"/>
  <c r="AE27" i="5"/>
  <c r="AF27" i="5"/>
  <c r="AI27" i="5"/>
  <c r="AJ27" i="5"/>
  <c r="AK27" i="5"/>
  <c r="AL27" i="5"/>
  <c r="AP27" i="5"/>
  <c r="AQ27" i="5"/>
  <c r="BE27" i="5"/>
  <c r="BJ27" i="5"/>
  <c r="BL27" i="5"/>
  <c r="BO27" i="5"/>
  <c r="BR27" i="5"/>
  <c r="CF27" i="5"/>
  <c r="CG27" i="5"/>
  <c r="B28" i="5"/>
  <c r="C28" i="5"/>
  <c r="F28" i="5"/>
  <c r="I28" i="5"/>
  <c r="L28" i="5"/>
  <c r="O28" i="5"/>
  <c r="R28" i="5"/>
  <c r="U28" i="5"/>
  <c r="X28" i="5"/>
  <c r="AA28" i="5"/>
  <c r="AE28" i="5"/>
  <c r="AF28" i="5"/>
  <c r="AI28" i="5"/>
  <c r="AJ28" i="5"/>
  <c r="AK28" i="5"/>
  <c r="AL28" i="5"/>
  <c r="AP28" i="5"/>
  <c r="AQ28" i="5"/>
  <c r="BE28" i="5"/>
  <c r="BJ28" i="5"/>
  <c r="BO28" i="5"/>
  <c r="BR28" i="5"/>
  <c r="B29" i="5"/>
  <c r="C29" i="5"/>
  <c r="F29" i="5"/>
  <c r="I29" i="5"/>
  <c r="L29" i="5"/>
  <c r="O29" i="5"/>
  <c r="R29" i="5"/>
  <c r="U29" i="5"/>
  <c r="X29" i="5"/>
  <c r="AA29" i="5"/>
  <c r="AE29" i="5"/>
  <c r="AF29" i="5"/>
  <c r="AI29" i="5"/>
  <c r="AJ29" i="5"/>
  <c r="AK29" i="5"/>
  <c r="AL29" i="5"/>
  <c r="AP29" i="5"/>
  <c r="AQ29" i="5"/>
  <c r="BE29" i="5"/>
  <c r="BJ29" i="5"/>
  <c r="BL29" i="5"/>
  <c r="BO29" i="5"/>
  <c r="BR29" i="5"/>
  <c r="B30" i="5"/>
  <c r="C30" i="5"/>
  <c r="F30" i="5"/>
  <c r="I30" i="5"/>
  <c r="L30" i="5"/>
  <c r="O30" i="5"/>
  <c r="R30" i="5"/>
  <c r="U30" i="5"/>
  <c r="X30" i="5"/>
  <c r="AA30" i="5"/>
  <c r="AE30" i="5"/>
  <c r="AF30" i="5"/>
  <c r="AI30" i="5"/>
  <c r="AJ30" i="5"/>
  <c r="AK30" i="5"/>
  <c r="AL30" i="5"/>
  <c r="AP30" i="5"/>
  <c r="AQ30" i="5"/>
  <c r="BE30" i="5"/>
  <c r="BJ30" i="5"/>
  <c r="BL30" i="5"/>
  <c r="BO30" i="5"/>
  <c r="BR30" i="5"/>
  <c r="B31" i="5"/>
  <c r="C31" i="5"/>
  <c r="F31" i="5"/>
  <c r="I31" i="5"/>
  <c r="L31" i="5"/>
  <c r="O31" i="5"/>
  <c r="R31" i="5"/>
  <c r="U31" i="5"/>
  <c r="X31" i="5"/>
  <c r="AA31" i="5"/>
  <c r="AE31" i="5"/>
  <c r="AF31" i="5"/>
  <c r="AI31" i="5"/>
  <c r="AJ31" i="5"/>
  <c r="AK31" i="5"/>
  <c r="AL31" i="5"/>
  <c r="AP31" i="5"/>
  <c r="AQ31" i="5"/>
  <c r="BE31" i="5"/>
  <c r="BJ31" i="5"/>
  <c r="BL31" i="5"/>
  <c r="BO31" i="5"/>
  <c r="BR31" i="5"/>
  <c r="BZ31" i="5"/>
  <c r="CA31" i="5"/>
  <c r="L32" i="5"/>
  <c r="O32" i="5"/>
  <c r="R32" i="5"/>
  <c r="U32" i="5"/>
  <c r="X32" i="5"/>
  <c r="AA32" i="5"/>
  <c r="AE32" i="5"/>
  <c r="AF32" i="5"/>
  <c r="AK32" i="5"/>
  <c r="AL32" i="5"/>
  <c r="AP32" i="5"/>
  <c r="AQ32" i="5"/>
  <c r="BE32" i="5"/>
  <c r="BF32" i="5"/>
  <c r="BJ32" i="5"/>
  <c r="BO32" i="5"/>
  <c r="BR32" i="5"/>
  <c r="BZ32" i="5"/>
  <c r="CA32" i="5"/>
  <c r="CF32" i="5"/>
  <c r="CG32" i="5"/>
  <c r="F34" i="5"/>
  <c r="I34" i="5"/>
  <c r="L34" i="5"/>
  <c r="O34" i="5"/>
  <c r="R34" i="5"/>
  <c r="U34" i="5"/>
  <c r="X34" i="5"/>
  <c r="AA34" i="5"/>
  <c r="AE34" i="5"/>
  <c r="AF34" i="5"/>
  <c r="AI34" i="5"/>
  <c r="AJ34" i="5"/>
  <c r="AK34" i="5"/>
  <c r="AL34" i="5"/>
  <c r="AP34" i="5"/>
  <c r="AQ34" i="5"/>
  <c r="BE34" i="5"/>
  <c r="BJ34" i="5"/>
  <c r="BL34" i="5"/>
  <c r="BO34" i="5"/>
  <c r="BR34" i="5"/>
  <c r="L35" i="5"/>
  <c r="O35" i="5"/>
  <c r="R35" i="5"/>
  <c r="U35" i="5"/>
  <c r="X35" i="5"/>
  <c r="AA35" i="5"/>
  <c r="AE35" i="5"/>
  <c r="AF35" i="5"/>
  <c r="AI35" i="5"/>
  <c r="AJ35" i="5"/>
  <c r="AK35" i="5"/>
  <c r="AL35" i="5"/>
  <c r="AP35" i="5"/>
  <c r="AQ35" i="5"/>
  <c r="BE35" i="5"/>
  <c r="BJ35" i="5"/>
  <c r="BO35" i="5"/>
  <c r="BR35" i="5"/>
  <c r="BW35" i="5"/>
  <c r="BY35" i="5"/>
  <c r="AE36" i="5"/>
  <c r="AF36" i="5"/>
  <c r="BO36" i="5"/>
  <c r="BP36" i="5"/>
  <c r="BQ36" i="5"/>
  <c r="AI36" i="5"/>
  <c r="AJ36" i="5"/>
  <c r="AK36" i="5"/>
  <c r="AL36" i="5"/>
  <c r="AP36" i="5"/>
  <c r="AQ36" i="5"/>
  <c r="BE36" i="5"/>
  <c r="BJ36" i="5"/>
  <c r="BL36" i="5"/>
  <c r="BR36" i="5"/>
  <c r="BZ36" i="5"/>
  <c r="CA36" i="5"/>
  <c r="CF36" i="5"/>
  <c r="CG36" i="5"/>
  <c r="AE37" i="5"/>
  <c r="AF37" i="5"/>
  <c r="AI37" i="5"/>
  <c r="AJ37" i="5"/>
  <c r="AK37" i="5"/>
  <c r="AL37" i="5"/>
  <c r="AM37" i="5"/>
  <c r="AP37" i="5"/>
  <c r="AQ37" i="5"/>
  <c r="BE37" i="5"/>
  <c r="BJ37" i="5"/>
  <c r="BO37" i="5"/>
  <c r="BR37" i="5"/>
  <c r="CF37" i="5"/>
  <c r="CG37" i="5"/>
  <c r="AF38" i="5"/>
  <c r="BK38" i="5"/>
  <c r="BL38" i="5"/>
  <c r="BO38" i="5"/>
  <c r="BR38" i="5"/>
  <c r="BZ38" i="5"/>
  <c r="CA38" i="5"/>
  <c r="CF38" i="5"/>
  <c r="CG38" i="5"/>
  <c r="X39" i="5"/>
  <c r="AE39" i="5"/>
  <c r="AF39" i="5"/>
  <c r="AI39" i="5"/>
  <c r="AJ39" i="5"/>
  <c r="AK39" i="5"/>
  <c r="AL39" i="5"/>
  <c r="AP39" i="5"/>
  <c r="AQ39" i="5"/>
  <c r="BE39" i="5"/>
  <c r="BJ39" i="5"/>
  <c r="BL39" i="5"/>
  <c r="BO39" i="5"/>
  <c r="BR39" i="5"/>
  <c r="BZ39" i="5"/>
  <c r="CA39" i="5"/>
  <c r="CF39" i="5"/>
  <c r="CG39" i="5"/>
  <c r="BZ40" i="5"/>
  <c r="CA40" i="5"/>
  <c r="CF40" i="5"/>
  <c r="CG40" i="5"/>
  <c r="BX41" i="5"/>
  <c r="BY41" i="5"/>
  <c r="BZ41" i="5"/>
  <c r="CA41" i="5"/>
  <c r="CF41" i="5"/>
  <c r="CG41" i="5"/>
  <c r="BX42" i="5"/>
  <c r="BY42" i="5"/>
  <c r="BZ42" i="5"/>
  <c r="CA42" i="5"/>
  <c r="CF42" i="5"/>
  <c r="CG42" i="5"/>
  <c r="AF44" i="5"/>
  <c r="BJ44" i="5"/>
  <c r="BK44" i="5"/>
  <c r="BL44" i="5"/>
  <c r="BO44" i="5"/>
  <c r="BR44" i="5"/>
  <c r="BZ44" i="5"/>
  <c r="CA44" i="5"/>
  <c r="CF44" i="5"/>
  <c r="CG44" i="5"/>
  <c r="AY48" i="5"/>
  <c r="BD48" i="5"/>
  <c r="BI48" i="5"/>
  <c r="BJ48" i="5"/>
  <c r="AR49" i="5"/>
  <c r="AS49" i="5"/>
  <c r="AR50" i="5"/>
  <c r="L58" i="5"/>
  <c r="O58" i="5"/>
  <c r="AD58" i="5"/>
  <c r="AF58" i="5"/>
  <c r="AK58" i="5"/>
  <c r="AL58" i="5"/>
  <c r="AN58" i="5"/>
  <c r="AO58" i="5"/>
  <c r="AP58" i="5"/>
  <c r="AQ58" i="5"/>
  <c r="AX58" i="5"/>
  <c r="AY58" i="5"/>
  <c r="BO58" i="5"/>
  <c r="BR58" i="5"/>
  <c r="B59" i="5"/>
  <c r="C59" i="5"/>
  <c r="F59" i="5"/>
  <c r="I59" i="5"/>
  <c r="L59" i="5"/>
  <c r="O59" i="5"/>
  <c r="R59" i="5"/>
  <c r="U59" i="5"/>
  <c r="X59" i="5"/>
  <c r="AA59" i="5"/>
  <c r="AD59" i="5"/>
  <c r="AE59" i="5"/>
  <c r="AF59" i="5"/>
  <c r="AK59" i="5"/>
  <c r="AL59" i="5"/>
  <c r="AN59" i="5"/>
  <c r="AO59" i="5"/>
  <c r="AP59" i="5"/>
  <c r="AQ59" i="5"/>
  <c r="AX59" i="5"/>
  <c r="AY59" i="5"/>
  <c r="BJ59" i="5"/>
  <c r="BR59" i="5"/>
  <c r="BZ59" i="5"/>
  <c r="CA59" i="5"/>
  <c r="B60" i="5"/>
  <c r="C60" i="5"/>
  <c r="F60" i="5"/>
  <c r="I60" i="5"/>
  <c r="L60" i="5"/>
  <c r="O60" i="5"/>
  <c r="R60" i="5"/>
  <c r="U60" i="5"/>
  <c r="X60" i="5"/>
  <c r="AA60" i="5"/>
  <c r="AD60" i="5"/>
  <c r="AE60" i="5"/>
  <c r="AF60" i="5"/>
  <c r="AK60" i="5"/>
  <c r="AL60" i="5"/>
  <c r="AN60" i="5"/>
  <c r="AO60" i="5"/>
  <c r="AZ60" i="5"/>
  <c r="AP60" i="5"/>
  <c r="AQ60" i="5"/>
  <c r="BE60" i="5"/>
  <c r="BJ60" i="5"/>
  <c r="BL60" i="5"/>
  <c r="BR60" i="5"/>
  <c r="BZ60" i="5"/>
  <c r="CA60" i="5"/>
  <c r="B61" i="5"/>
  <c r="C61" i="5"/>
  <c r="F61" i="5"/>
  <c r="I61" i="5"/>
  <c r="L61" i="5"/>
  <c r="O61" i="5"/>
  <c r="R61" i="5"/>
  <c r="U61" i="5"/>
  <c r="X61" i="5"/>
  <c r="AA61" i="5"/>
  <c r="AD61" i="5"/>
  <c r="AE61" i="5"/>
  <c r="AF61" i="5"/>
  <c r="AK61" i="5"/>
  <c r="AL61" i="5"/>
  <c r="AN61" i="5"/>
  <c r="AO61" i="5"/>
  <c r="AP61" i="5"/>
  <c r="AQ61" i="5"/>
  <c r="AX61" i="5"/>
  <c r="AY61" i="5"/>
  <c r="BR61" i="5"/>
  <c r="BZ61" i="5"/>
  <c r="CA61" i="5"/>
  <c r="CF61" i="5"/>
  <c r="CG61" i="5"/>
  <c r="B62" i="5"/>
  <c r="C62" i="5"/>
  <c r="F62" i="5"/>
  <c r="I62" i="5"/>
  <c r="L62" i="5"/>
  <c r="O62" i="5"/>
  <c r="R62" i="5"/>
  <c r="U62" i="5"/>
  <c r="X62" i="5"/>
  <c r="AA62" i="5"/>
  <c r="AD62" i="5"/>
  <c r="AE62" i="5"/>
  <c r="AF62" i="5"/>
  <c r="AK62" i="5"/>
  <c r="AL62" i="5"/>
  <c r="AN62" i="5"/>
  <c r="AO62" i="5"/>
  <c r="AZ62" i="5"/>
  <c r="AP62" i="5"/>
  <c r="AQ62" i="5"/>
  <c r="BE62" i="5"/>
  <c r="BJ62" i="5"/>
  <c r="BL62" i="5"/>
  <c r="BO62" i="5"/>
  <c r="BR62" i="5"/>
  <c r="CF62" i="5"/>
  <c r="CG62" i="5"/>
  <c r="L63" i="5"/>
  <c r="O63" i="5"/>
  <c r="R63" i="5"/>
  <c r="AD63" i="5"/>
  <c r="AE63" i="5"/>
  <c r="AF63" i="5"/>
  <c r="AK63" i="5"/>
  <c r="AL63" i="5"/>
  <c r="AN63" i="5"/>
  <c r="AO63" i="5"/>
  <c r="AP63" i="5"/>
  <c r="AQ63" i="5"/>
  <c r="AX63" i="5"/>
  <c r="AY63" i="5"/>
  <c r="AZ63" i="5"/>
  <c r="BR63" i="5"/>
  <c r="CF63" i="5"/>
  <c r="CG63" i="5"/>
  <c r="F64" i="5"/>
  <c r="I64" i="5"/>
  <c r="L64" i="5"/>
  <c r="O64" i="5"/>
  <c r="R64" i="5"/>
  <c r="U64" i="5"/>
  <c r="X64" i="5"/>
  <c r="AA64" i="5"/>
  <c r="AD64" i="5"/>
  <c r="AE64" i="5"/>
  <c r="AF64" i="5"/>
  <c r="AK64" i="5"/>
  <c r="AL64" i="5"/>
  <c r="AN64" i="5"/>
  <c r="AO64" i="5"/>
  <c r="AZ64" i="5"/>
  <c r="AP64" i="5"/>
  <c r="AQ64" i="5"/>
  <c r="BE64" i="5"/>
  <c r="BJ64" i="5"/>
  <c r="BL64" i="5"/>
  <c r="BO64" i="5"/>
  <c r="CF64" i="5"/>
  <c r="CG64" i="5"/>
  <c r="L65" i="5"/>
  <c r="O65" i="5"/>
  <c r="R65" i="5"/>
  <c r="U65" i="5"/>
  <c r="X65" i="5"/>
  <c r="AA65" i="5"/>
  <c r="AD65" i="5"/>
  <c r="AE65" i="5"/>
  <c r="AF65" i="5"/>
  <c r="AK65" i="5"/>
  <c r="AL65" i="5"/>
  <c r="AN65" i="5"/>
  <c r="AO65" i="5"/>
  <c r="AP65" i="5"/>
  <c r="AQ65" i="5"/>
  <c r="AX65" i="5"/>
  <c r="AY65" i="5"/>
  <c r="BO65" i="5"/>
  <c r="BR65" i="5"/>
  <c r="BZ65" i="5"/>
  <c r="CA65" i="5"/>
  <c r="CF65" i="5"/>
  <c r="CG65" i="5"/>
  <c r="B66" i="5"/>
  <c r="C66" i="5"/>
  <c r="F66" i="5"/>
  <c r="I66" i="5"/>
  <c r="L66" i="5"/>
  <c r="O66" i="5"/>
  <c r="R66" i="5"/>
  <c r="U66" i="5"/>
  <c r="X66" i="5"/>
  <c r="AA66" i="5"/>
  <c r="AD66" i="5"/>
  <c r="AE66" i="5"/>
  <c r="AF66" i="5"/>
  <c r="AI66" i="5"/>
  <c r="AJ66" i="5"/>
  <c r="AK66" i="5"/>
  <c r="AL66" i="5"/>
  <c r="AM66" i="5"/>
  <c r="AN66" i="5"/>
  <c r="AO66" i="5"/>
  <c r="AZ66" i="5"/>
  <c r="AP66" i="5"/>
  <c r="AQ66" i="5"/>
  <c r="BJ66" i="5"/>
  <c r="BL66" i="5"/>
  <c r="BO66" i="5"/>
  <c r="BR66" i="5"/>
  <c r="BZ66" i="5"/>
  <c r="CA66" i="5"/>
  <c r="CF66" i="5"/>
  <c r="CG66" i="5"/>
  <c r="B67" i="5"/>
  <c r="C67" i="5"/>
  <c r="F67" i="5"/>
  <c r="I67" i="5"/>
  <c r="L67" i="5"/>
  <c r="O67" i="5"/>
  <c r="R67" i="5"/>
  <c r="U67" i="5"/>
  <c r="X67" i="5"/>
  <c r="AA67" i="5"/>
  <c r="AD67" i="5"/>
  <c r="AE67" i="5"/>
  <c r="AF67" i="5"/>
  <c r="AK67" i="5"/>
  <c r="AL67" i="5"/>
  <c r="AN67" i="5"/>
  <c r="AO67" i="5"/>
  <c r="AZ67" i="5"/>
  <c r="AS67" i="5"/>
  <c r="AV67" i="5"/>
  <c r="BA67" i="5"/>
  <c r="AP67" i="5"/>
  <c r="AQ67" i="5"/>
  <c r="BE67" i="5"/>
  <c r="BJ67" i="5"/>
  <c r="BL67" i="5"/>
  <c r="BL58" i="5"/>
  <c r="BL59" i="5"/>
  <c r="BL61" i="5"/>
  <c r="BL63" i="5"/>
  <c r="BL65" i="5"/>
  <c r="BL68" i="5"/>
  <c r="BL69" i="5"/>
  <c r="BL70" i="5"/>
  <c r="BL71" i="5"/>
  <c r="BL72" i="5"/>
  <c r="BL73" i="5"/>
  <c r="BL74" i="5"/>
  <c r="BL75" i="5"/>
  <c r="BL76" i="5"/>
  <c r="BL77" i="5"/>
  <c r="BL78" i="5"/>
  <c r="BL79" i="5"/>
  <c r="BL80" i="5"/>
  <c r="BL81" i="5"/>
  <c r="AF81" i="5"/>
  <c r="BM81" i="5"/>
  <c r="BN81" i="5"/>
  <c r="BO67" i="5"/>
  <c r="BR67" i="5"/>
  <c r="BZ67" i="5"/>
  <c r="CA67" i="5"/>
  <c r="L68" i="5"/>
  <c r="O68" i="5"/>
  <c r="R68" i="5"/>
  <c r="U68" i="5"/>
  <c r="X68" i="5"/>
  <c r="AA68" i="5"/>
  <c r="AD68" i="5"/>
  <c r="AE68" i="5"/>
  <c r="AF68" i="5"/>
  <c r="AK68" i="5"/>
  <c r="AL68" i="5"/>
  <c r="AN68" i="5"/>
  <c r="AO68" i="5"/>
  <c r="AP68" i="5"/>
  <c r="AQ68" i="5"/>
  <c r="AX68" i="5"/>
  <c r="AY68" i="5"/>
  <c r="BE68" i="5"/>
  <c r="BR68" i="5"/>
  <c r="BZ68" i="5"/>
  <c r="CA68" i="5"/>
  <c r="L69" i="5"/>
  <c r="O69" i="5"/>
  <c r="R69" i="5"/>
  <c r="U69" i="5"/>
  <c r="X69" i="5"/>
  <c r="AA69" i="5"/>
  <c r="AD69" i="5"/>
  <c r="AE69" i="5"/>
  <c r="AF69" i="5"/>
  <c r="AK69" i="5"/>
  <c r="AL69" i="5"/>
  <c r="AN69" i="5"/>
  <c r="AO69" i="5"/>
  <c r="AZ69" i="5"/>
  <c r="AP69" i="5"/>
  <c r="AQ69" i="5"/>
  <c r="AX69" i="5"/>
  <c r="AY69" i="5"/>
  <c r="BO69" i="5"/>
  <c r="BR69" i="5"/>
  <c r="F70" i="5"/>
  <c r="I70" i="5"/>
  <c r="L70" i="5"/>
  <c r="O70" i="5"/>
  <c r="R70" i="5"/>
  <c r="U70" i="5"/>
  <c r="X70" i="5"/>
  <c r="AA70" i="5"/>
  <c r="AD70" i="5"/>
  <c r="AE70" i="5"/>
  <c r="AF70" i="5"/>
  <c r="AK70" i="5"/>
  <c r="AL70" i="5"/>
  <c r="AN70" i="5"/>
  <c r="AO70" i="5"/>
  <c r="AP70" i="5"/>
  <c r="AQ70" i="5"/>
  <c r="AX70" i="5"/>
  <c r="AY70" i="5"/>
  <c r="BE70" i="5"/>
  <c r="BJ70" i="5"/>
  <c r="BR70" i="5"/>
  <c r="B71" i="5"/>
  <c r="C71" i="5"/>
  <c r="F71" i="5"/>
  <c r="I71" i="5"/>
  <c r="L71" i="5"/>
  <c r="O71" i="5"/>
  <c r="R71" i="5"/>
  <c r="U71" i="5"/>
  <c r="X71" i="5"/>
  <c r="AA71" i="5"/>
  <c r="AD71" i="5"/>
  <c r="AE71" i="5"/>
  <c r="AF71" i="5"/>
  <c r="AK71" i="5"/>
  <c r="AL71" i="5"/>
  <c r="AN71" i="5"/>
  <c r="AO71" i="5"/>
  <c r="AP71" i="5"/>
  <c r="AQ71" i="5"/>
  <c r="AX71" i="5"/>
  <c r="AY71" i="5"/>
  <c r="AZ71" i="5"/>
  <c r="BE71" i="5"/>
  <c r="BJ71" i="5"/>
  <c r="BO71" i="5"/>
  <c r="BR71" i="5"/>
  <c r="CF71" i="5"/>
  <c r="CG71" i="5"/>
  <c r="L72" i="5"/>
  <c r="O72" i="5"/>
  <c r="R72" i="5"/>
  <c r="U72" i="5"/>
  <c r="X72" i="5"/>
  <c r="AA72" i="5"/>
  <c r="AD72" i="5"/>
  <c r="AE72" i="5"/>
  <c r="AF72" i="5"/>
  <c r="AI72" i="5"/>
  <c r="AJ72" i="5"/>
  <c r="AK72" i="5"/>
  <c r="AL72" i="5"/>
  <c r="AN72" i="5"/>
  <c r="AO72" i="5"/>
  <c r="AZ72" i="5"/>
  <c r="AP72" i="5"/>
  <c r="AQ72" i="5"/>
  <c r="BJ72" i="5"/>
  <c r="BO72" i="5"/>
  <c r="BR72" i="5"/>
  <c r="CG72" i="5"/>
  <c r="B73" i="5"/>
  <c r="C73" i="5"/>
  <c r="F73" i="5"/>
  <c r="I73" i="5"/>
  <c r="L73" i="5"/>
  <c r="O73" i="5"/>
  <c r="R73" i="5"/>
  <c r="U73" i="5"/>
  <c r="X73" i="5"/>
  <c r="AA73" i="5"/>
  <c r="AD73" i="5"/>
  <c r="AE73" i="5"/>
  <c r="AF73" i="5"/>
  <c r="AK73" i="5"/>
  <c r="AL73" i="5"/>
  <c r="AN73" i="5"/>
  <c r="AO73" i="5"/>
  <c r="AP73" i="5"/>
  <c r="AQ73" i="5"/>
  <c r="BJ73" i="5"/>
  <c r="BM73" i="5"/>
  <c r="BN73" i="5"/>
  <c r="BO73" i="5"/>
  <c r="BR73" i="5"/>
  <c r="CF73" i="5"/>
  <c r="CG73" i="5"/>
  <c r="B74" i="5"/>
  <c r="C74" i="5"/>
  <c r="F74" i="5"/>
  <c r="I74" i="5"/>
  <c r="L74" i="5"/>
  <c r="O74" i="5"/>
  <c r="R74" i="5"/>
  <c r="U74" i="5"/>
  <c r="X74" i="5"/>
  <c r="AA74" i="5"/>
  <c r="AD74" i="5"/>
  <c r="AE74" i="5"/>
  <c r="AF74" i="5"/>
  <c r="AK74" i="5"/>
  <c r="AL74" i="5"/>
  <c r="AN74" i="5"/>
  <c r="AO74" i="5"/>
  <c r="AZ74" i="5"/>
  <c r="AP74" i="5"/>
  <c r="AQ74" i="5"/>
  <c r="BJ74" i="5"/>
  <c r="BO74" i="5"/>
  <c r="BR74" i="5"/>
  <c r="CF74" i="5"/>
  <c r="CG74" i="5"/>
  <c r="B75" i="5"/>
  <c r="C75" i="5"/>
  <c r="F75" i="5"/>
  <c r="I75" i="5"/>
  <c r="O75" i="5"/>
  <c r="R75" i="5"/>
  <c r="U75" i="5"/>
  <c r="X75" i="5"/>
  <c r="AA75" i="5"/>
  <c r="AD75" i="5"/>
  <c r="AE75" i="5"/>
  <c r="AF75" i="5"/>
  <c r="AK75" i="5"/>
  <c r="AL75" i="5"/>
  <c r="AN75" i="5"/>
  <c r="AO75" i="5"/>
  <c r="AZ75" i="5"/>
  <c r="AP75" i="5"/>
  <c r="AQ75" i="5"/>
  <c r="BJ75" i="5"/>
  <c r="BO75" i="5"/>
  <c r="BR75" i="5"/>
  <c r="CF75" i="5"/>
  <c r="CG75" i="5"/>
  <c r="B76" i="5"/>
  <c r="C76" i="5"/>
  <c r="F76" i="5"/>
  <c r="I76" i="5"/>
  <c r="L76" i="5"/>
  <c r="O76" i="5"/>
  <c r="R76" i="5"/>
  <c r="U76" i="5"/>
  <c r="X76" i="5"/>
  <c r="AA76" i="5"/>
  <c r="AD76" i="5"/>
  <c r="AE76" i="5"/>
  <c r="AF76" i="5"/>
  <c r="AK76" i="5"/>
  <c r="AL76" i="5"/>
  <c r="AN76" i="5"/>
  <c r="AO76" i="5"/>
  <c r="AZ76" i="5"/>
  <c r="AP76" i="5"/>
  <c r="AQ76" i="5"/>
  <c r="BJ76" i="5"/>
  <c r="BO76" i="5"/>
  <c r="BR76" i="5"/>
  <c r="L77" i="5"/>
  <c r="O77" i="5"/>
  <c r="R77" i="5"/>
  <c r="U77" i="5"/>
  <c r="X77" i="5"/>
  <c r="AA77" i="5"/>
  <c r="AD77" i="5"/>
  <c r="AE77" i="5"/>
  <c r="AF77" i="5"/>
  <c r="AI77" i="5"/>
  <c r="AJ77" i="5"/>
  <c r="AK77" i="5"/>
  <c r="AL77" i="5"/>
  <c r="AN77" i="5"/>
  <c r="AO77" i="5"/>
  <c r="AZ77" i="5"/>
  <c r="AP77" i="5"/>
  <c r="AQ77" i="5"/>
  <c r="BJ77" i="5"/>
  <c r="BO77" i="5"/>
  <c r="BR77" i="5"/>
  <c r="BZ77" i="5"/>
  <c r="CA77" i="5"/>
  <c r="CF77" i="5"/>
  <c r="CG77" i="5"/>
  <c r="L78" i="5"/>
  <c r="O78" i="5"/>
  <c r="R78" i="5"/>
  <c r="U78" i="5"/>
  <c r="X78" i="5"/>
  <c r="AA78" i="5"/>
  <c r="AD78" i="5"/>
  <c r="AE78" i="5"/>
  <c r="AF78" i="5"/>
  <c r="AK78" i="5"/>
  <c r="AL78" i="5"/>
  <c r="AN78" i="5"/>
  <c r="AO78" i="5"/>
  <c r="AZ78" i="5"/>
  <c r="AP78" i="5"/>
  <c r="AQ78" i="5"/>
  <c r="BJ78" i="5"/>
  <c r="BM78" i="5"/>
  <c r="BN78" i="5"/>
  <c r="AA79" i="5"/>
  <c r="AB79" i="5"/>
  <c r="AC79" i="5"/>
  <c r="AD79" i="5"/>
  <c r="AE79" i="5"/>
  <c r="AF79" i="5"/>
  <c r="AI79" i="5"/>
  <c r="AJ79" i="5"/>
  <c r="AK79" i="5"/>
  <c r="AL79" i="5"/>
  <c r="AN79" i="5"/>
  <c r="AN80" i="5"/>
  <c r="AN81" i="5"/>
  <c r="AO79" i="5"/>
  <c r="AZ79" i="5"/>
  <c r="AP79" i="5"/>
  <c r="AQ79" i="5"/>
  <c r="BJ79" i="5"/>
  <c r="BO79" i="5"/>
  <c r="BR79" i="5"/>
  <c r="AA80" i="5"/>
  <c r="AB80" i="5"/>
  <c r="AC80" i="5"/>
  <c r="AD80" i="5"/>
  <c r="AE80" i="5"/>
  <c r="AF80" i="5"/>
  <c r="AK80" i="5"/>
  <c r="AL80" i="5"/>
  <c r="AO80" i="5"/>
  <c r="AZ80" i="5"/>
  <c r="AP80" i="5"/>
  <c r="AQ80" i="5"/>
  <c r="BJ80" i="5"/>
  <c r="BO80" i="5"/>
  <c r="BR80" i="5"/>
  <c r="BD81" i="5"/>
  <c r="BI81" i="5"/>
  <c r="BW81" i="5"/>
  <c r="L92" i="5"/>
  <c r="O92" i="5"/>
  <c r="R92" i="5"/>
  <c r="U92" i="5"/>
  <c r="X92" i="5"/>
  <c r="AA92" i="5"/>
  <c r="AD92" i="5"/>
  <c r="AE92" i="5"/>
  <c r="AF92" i="5"/>
  <c r="AI92" i="5"/>
  <c r="AJ92" i="5"/>
  <c r="AK92" i="5"/>
  <c r="AL92" i="5"/>
  <c r="AN92" i="5"/>
  <c r="AO92" i="5"/>
  <c r="AZ92" i="5"/>
  <c r="AP92" i="5"/>
  <c r="AQ92" i="5"/>
  <c r="BE92" i="5"/>
  <c r="BJ92" i="5"/>
  <c r="BR92" i="5"/>
  <c r="I93" i="5"/>
  <c r="L93" i="5"/>
  <c r="O93" i="5"/>
  <c r="R93" i="5"/>
  <c r="U93" i="5"/>
  <c r="X93" i="5"/>
  <c r="AA93" i="5"/>
  <c r="AD93" i="5"/>
  <c r="AE93" i="5"/>
  <c r="AF93" i="5"/>
  <c r="AI93" i="5"/>
  <c r="AJ93" i="5"/>
  <c r="AK93" i="5"/>
  <c r="AL93" i="5"/>
  <c r="AN93" i="5"/>
  <c r="AO93" i="5"/>
  <c r="AZ93" i="5"/>
  <c r="AP93" i="5"/>
  <c r="AQ93" i="5"/>
  <c r="BE93" i="5"/>
  <c r="BJ93" i="5"/>
  <c r="BO93" i="5"/>
  <c r="BR93" i="5"/>
  <c r="BZ93" i="5"/>
  <c r="CA93" i="5"/>
  <c r="CG93" i="5"/>
  <c r="B94" i="5"/>
  <c r="C94" i="5"/>
  <c r="F94" i="5"/>
  <c r="I94" i="5"/>
  <c r="L94" i="5"/>
  <c r="O94" i="5"/>
  <c r="R94" i="5"/>
  <c r="U94" i="5"/>
  <c r="X94" i="5"/>
  <c r="AA94" i="5"/>
  <c r="AD94" i="5"/>
  <c r="AE94" i="5"/>
  <c r="AF94" i="5"/>
  <c r="AI94" i="5"/>
  <c r="AJ94" i="5"/>
  <c r="AK94" i="5"/>
  <c r="AL94" i="5"/>
  <c r="AN94" i="5"/>
  <c r="AO94" i="5"/>
  <c r="AP94" i="5"/>
  <c r="AQ94" i="5"/>
  <c r="BE94" i="5"/>
  <c r="BJ94" i="5"/>
  <c r="BL94" i="5"/>
  <c r="BO94" i="5"/>
  <c r="BP94" i="5"/>
  <c r="BQ94" i="5"/>
  <c r="BR94" i="5"/>
  <c r="BZ94" i="5"/>
  <c r="CA94" i="5"/>
  <c r="CG94" i="5"/>
  <c r="I95" i="5"/>
  <c r="L95" i="5"/>
  <c r="O95" i="5"/>
  <c r="R95" i="5"/>
  <c r="U95" i="5"/>
  <c r="X95" i="5"/>
  <c r="AA95" i="5"/>
  <c r="AD95" i="5"/>
  <c r="AE95" i="5"/>
  <c r="AF95" i="5"/>
  <c r="AI95" i="5"/>
  <c r="AJ95" i="5"/>
  <c r="AK95" i="5"/>
  <c r="AL95" i="5"/>
  <c r="AN95" i="5"/>
  <c r="AO95" i="5"/>
  <c r="AZ95" i="5"/>
  <c r="AP95" i="5"/>
  <c r="AQ95" i="5"/>
  <c r="BE95" i="5"/>
  <c r="BJ95" i="5"/>
  <c r="BR95" i="5"/>
  <c r="BZ95" i="5"/>
  <c r="CA95" i="5"/>
  <c r="F96" i="5"/>
  <c r="I96" i="5"/>
  <c r="L96" i="5"/>
  <c r="O96" i="5"/>
  <c r="R96" i="5"/>
  <c r="U96" i="5"/>
  <c r="X96" i="5"/>
  <c r="AA96" i="5"/>
  <c r="AD96" i="5"/>
  <c r="AE96" i="5"/>
  <c r="AF96" i="5"/>
  <c r="AI96" i="5"/>
  <c r="AJ96" i="5"/>
  <c r="AK96" i="5"/>
  <c r="AL96" i="5"/>
  <c r="AN96" i="5"/>
  <c r="AO96" i="5"/>
  <c r="AZ96" i="5"/>
  <c r="AP96" i="5"/>
  <c r="AQ96" i="5"/>
  <c r="BE96" i="5"/>
  <c r="BJ96" i="5"/>
  <c r="BL96" i="5"/>
  <c r="BO96" i="5"/>
  <c r="BP96" i="5"/>
  <c r="BQ96" i="5"/>
  <c r="BR96" i="5"/>
  <c r="CG96" i="5"/>
  <c r="L97" i="5"/>
  <c r="O97" i="5"/>
  <c r="R97" i="5"/>
  <c r="U97" i="5"/>
  <c r="X97" i="5"/>
  <c r="AA97" i="5"/>
  <c r="AD97" i="5"/>
  <c r="AE97" i="5"/>
  <c r="AF97" i="5"/>
  <c r="AK97" i="5"/>
  <c r="AL97" i="5"/>
  <c r="AN97" i="5"/>
  <c r="AO97" i="5"/>
  <c r="AZ97" i="5"/>
  <c r="AP97" i="5"/>
  <c r="AQ97" i="5"/>
  <c r="BE97" i="5"/>
  <c r="BJ97" i="5"/>
  <c r="BL97" i="5"/>
  <c r="BO97" i="5"/>
  <c r="BR97" i="5"/>
  <c r="BZ97" i="5"/>
  <c r="CA97" i="5"/>
  <c r="CG97" i="5"/>
  <c r="B98" i="5"/>
  <c r="C98" i="5"/>
  <c r="F98" i="5"/>
  <c r="I98" i="5"/>
  <c r="L98" i="5"/>
  <c r="O98" i="5"/>
  <c r="BK98" i="5"/>
  <c r="BL98" i="5"/>
  <c r="BM98" i="5"/>
  <c r="BN98" i="5"/>
  <c r="BO98" i="5"/>
  <c r="BP98" i="5"/>
  <c r="BQ98" i="5"/>
  <c r="BR98" i="5"/>
  <c r="BZ98" i="5"/>
  <c r="CA98" i="5"/>
  <c r="CG98" i="5"/>
  <c r="B99" i="5"/>
  <c r="C99" i="5"/>
  <c r="F99" i="5"/>
  <c r="I99" i="5"/>
  <c r="L99" i="5"/>
  <c r="O99" i="5"/>
  <c r="R99" i="5"/>
  <c r="U99" i="5"/>
  <c r="X99" i="5"/>
  <c r="AA99" i="5"/>
  <c r="AD99" i="5"/>
  <c r="AE99" i="5"/>
  <c r="AF99" i="5"/>
  <c r="AI99" i="5"/>
  <c r="AJ99" i="5"/>
  <c r="AK99" i="5"/>
  <c r="AL99" i="5"/>
  <c r="AN99" i="5"/>
  <c r="AO99" i="5"/>
  <c r="AZ99" i="5"/>
  <c r="AP99" i="5"/>
  <c r="AQ99" i="5"/>
  <c r="BJ99" i="5"/>
  <c r="BL99" i="5"/>
  <c r="BO99" i="5"/>
  <c r="BR99" i="5"/>
  <c r="BZ99" i="5"/>
  <c r="CA99" i="5"/>
  <c r="B100" i="5"/>
  <c r="C100" i="5"/>
  <c r="F100" i="5"/>
  <c r="I100" i="5"/>
  <c r="L100" i="5"/>
  <c r="O100" i="5"/>
  <c r="R100" i="5"/>
  <c r="U100" i="5"/>
  <c r="X100" i="5"/>
  <c r="AA100" i="5"/>
  <c r="AD100" i="5"/>
  <c r="AE100" i="5"/>
  <c r="AF100" i="5"/>
  <c r="AI100" i="5"/>
  <c r="AJ100" i="5"/>
  <c r="AK100" i="5"/>
  <c r="AL100" i="5"/>
  <c r="AN100" i="5"/>
  <c r="AO100" i="5"/>
  <c r="AZ100" i="5"/>
  <c r="AP100" i="5"/>
  <c r="AQ100" i="5"/>
  <c r="BJ100" i="5"/>
  <c r="BL100" i="5"/>
  <c r="BO100" i="5"/>
  <c r="BR100" i="5"/>
  <c r="BZ100" i="5"/>
  <c r="CA100" i="5"/>
  <c r="CG100" i="5"/>
  <c r="B101" i="5"/>
  <c r="C101" i="5"/>
  <c r="F101" i="5"/>
  <c r="I101" i="5"/>
  <c r="L101" i="5"/>
  <c r="O101" i="5"/>
  <c r="R101" i="5"/>
  <c r="U101" i="5"/>
  <c r="X101" i="5"/>
  <c r="AA101" i="5"/>
  <c r="AD101" i="5"/>
  <c r="AE101" i="5"/>
  <c r="AF101" i="5"/>
  <c r="AI101" i="5"/>
  <c r="AJ101" i="5"/>
  <c r="AK101" i="5"/>
  <c r="AL101" i="5"/>
  <c r="AN101" i="5"/>
  <c r="AO101" i="5"/>
  <c r="AZ101" i="5"/>
  <c r="AP101" i="5"/>
  <c r="AQ101" i="5"/>
  <c r="BE101" i="5"/>
  <c r="BJ101" i="5"/>
  <c r="BL101" i="5"/>
  <c r="BO101" i="5"/>
  <c r="BP101" i="5"/>
  <c r="BQ101" i="5"/>
  <c r="BR101" i="5"/>
  <c r="B102" i="5"/>
  <c r="C102" i="5"/>
  <c r="F102" i="5"/>
  <c r="I102" i="5"/>
  <c r="L102" i="5"/>
  <c r="O102" i="5"/>
  <c r="R102" i="5"/>
  <c r="U102" i="5"/>
  <c r="X102" i="5"/>
  <c r="AA102" i="5"/>
  <c r="AD102" i="5"/>
  <c r="AE102" i="5"/>
  <c r="AF102" i="5"/>
  <c r="AI102" i="5"/>
  <c r="AJ102" i="5"/>
  <c r="AK102" i="5"/>
  <c r="AL102" i="5"/>
  <c r="AN102" i="5"/>
  <c r="AO102" i="5"/>
  <c r="AZ102" i="5"/>
  <c r="AP102" i="5"/>
  <c r="AQ102" i="5"/>
  <c r="BE102" i="5"/>
  <c r="BJ102" i="5"/>
  <c r="BL102" i="5"/>
  <c r="BO102" i="5"/>
  <c r="BR102" i="5"/>
  <c r="BZ102" i="5"/>
  <c r="CA102" i="5"/>
  <c r="B103" i="5"/>
  <c r="I103" i="5"/>
  <c r="L103" i="5"/>
  <c r="O103" i="5"/>
  <c r="R103" i="5"/>
  <c r="U103" i="5"/>
  <c r="V103" i="5"/>
  <c r="W103" i="5"/>
  <c r="X103" i="5"/>
  <c r="AA103" i="5"/>
  <c r="AD103" i="5"/>
  <c r="AE103" i="5"/>
  <c r="AF103" i="5"/>
  <c r="AK103" i="5"/>
  <c r="AL103" i="5"/>
  <c r="AL104" i="5"/>
  <c r="AL105" i="5"/>
  <c r="AL106" i="5"/>
  <c r="AL107" i="5"/>
  <c r="AL108" i="5"/>
  <c r="AL109" i="5"/>
  <c r="AL110" i="5"/>
  <c r="AL111" i="5"/>
  <c r="AL112" i="5"/>
  <c r="AL115" i="5"/>
  <c r="AL116" i="5"/>
  <c r="AN103" i="5"/>
  <c r="AO103" i="5"/>
  <c r="AZ103" i="5"/>
  <c r="AP103" i="5"/>
  <c r="AQ103" i="5"/>
  <c r="BE103" i="5"/>
  <c r="BJ103" i="5"/>
  <c r="BO103" i="5"/>
  <c r="BR103" i="5"/>
  <c r="BS103" i="5"/>
  <c r="BT103" i="5"/>
  <c r="BZ103" i="5"/>
  <c r="CA103" i="5"/>
  <c r="B104" i="5"/>
  <c r="C104" i="5"/>
  <c r="F104" i="5"/>
  <c r="I104" i="5"/>
  <c r="L104" i="5"/>
  <c r="O104" i="5"/>
  <c r="R104" i="5"/>
  <c r="U104" i="5"/>
  <c r="X104" i="5"/>
  <c r="AA104" i="5"/>
  <c r="AD104" i="5"/>
  <c r="AE104" i="5"/>
  <c r="AF104" i="5"/>
  <c r="AI104" i="5"/>
  <c r="AJ104" i="5"/>
  <c r="AK104" i="5"/>
  <c r="AN104" i="5"/>
  <c r="AO104" i="5"/>
  <c r="AZ104" i="5"/>
  <c r="AS104" i="5"/>
  <c r="AV104" i="5"/>
  <c r="BA104" i="5"/>
  <c r="AP104" i="5"/>
  <c r="AQ104" i="5"/>
  <c r="BE104" i="5"/>
  <c r="BJ104" i="5"/>
  <c r="BO104" i="5"/>
  <c r="BR104" i="5"/>
  <c r="BZ104" i="5"/>
  <c r="CA104" i="5"/>
  <c r="B105" i="5"/>
  <c r="C105" i="5"/>
  <c r="F105" i="5"/>
  <c r="I105" i="5"/>
  <c r="L105" i="5"/>
  <c r="O105" i="5"/>
  <c r="R105" i="5"/>
  <c r="U105" i="5"/>
  <c r="X105" i="5"/>
  <c r="AA105" i="5"/>
  <c r="AD105" i="5"/>
  <c r="AE105" i="5"/>
  <c r="AF105" i="5"/>
  <c r="AK105" i="5"/>
  <c r="AN105" i="5"/>
  <c r="AO105" i="5"/>
  <c r="AZ105" i="5"/>
  <c r="AS105" i="5"/>
  <c r="BB105" i="5"/>
  <c r="BC105" i="5"/>
  <c r="AP105" i="5"/>
  <c r="AQ105" i="5"/>
  <c r="BE105" i="5"/>
  <c r="BJ105" i="5"/>
  <c r="BL105" i="5"/>
  <c r="BO105" i="5"/>
  <c r="BR105" i="5"/>
  <c r="BZ105" i="5"/>
  <c r="CA105" i="5"/>
  <c r="CG105" i="5"/>
  <c r="B106" i="5"/>
  <c r="C106" i="5"/>
  <c r="F106" i="5"/>
  <c r="I106" i="5"/>
  <c r="L106" i="5"/>
  <c r="O106" i="5"/>
  <c r="R106" i="5"/>
  <c r="U106" i="5"/>
  <c r="X106" i="5"/>
  <c r="AA106" i="5"/>
  <c r="AD106" i="5"/>
  <c r="AE106" i="5"/>
  <c r="AF106" i="5"/>
  <c r="AI106" i="5"/>
  <c r="AJ106" i="5"/>
  <c r="AK106" i="5"/>
  <c r="AN106" i="5"/>
  <c r="AO106" i="5"/>
  <c r="AZ106" i="5"/>
  <c r="AP106" i="5"/>
  <c r="AQ106" i="5"/>
  <c r="BE106" i="5"/>
  <c r="BJ106" i="5"/>
  <c r="BL106" i="5"/>
  <c r="BO106" i="5"/>
  <c r="BR106" i="5"/>
  <c r="L107" i="5"/>
  <c r="O107" i="5"/>
  <c r="R107" i="5"/>
  <c r="U107" i="5"/>
  <c r="X107" i="5"/>
  <c r="AA107" i="5"/>
  <c r="AD107" i="5"/>
  <c r="AE107" i="5"/>
  <c r="AF107" i="5"/>
  <c r="BO107" i="5"/>
  <c r="BP107" i="5"/>
  <c r="BQ107" i="5"/>
  <c r="AI107" i="5"/>
  <c r="AJ107" i="5"/>
  <c r="AK107" i="5"/>
  <c r="AN107" i="5"/>
  <c r="AO107" i="5"/>
  <c r="AZ107" i="5"/>
  <c r="AP107" i="5"/>
  <c r="AQ107" i="5"/>
  <c r="BE107" i="5"/>
  <c r="BJ107" i="5"/>
  <c r="BL107" i="5"/>
  <c r="BR107" i="5"/>
  <c r="L108" i="5"/>
  <c r="O108" i="5"/>
  <c r="R108" i="5"/>
  <c r="U108" i="5"/>
  <c r="X108" i="5"/>
  <c r="AA108" i="5"/>
  <c r="AD108" i="5"/>
  <c r="AE108" i="5"/>
  <c r="AF108" i="5"/>
  <c r="AI108" i="5"/>
  <c r="AJ108" i="5"/>
  <c r="AK108" i="5"/>
  <c r="AN108" i="5"/>
  <c r="AO108" i="5"/>
  <c r="AZ108" i="5"/>
  <c r="AP108" i="5"/>
  <c r="AQ108" i="5"/>
  <c r="BJ108" i="5"/>
  <c r="BL108" i="5"/>
  <c r="BO108" i="5"/>
  <c r="BR108" i="5"/>
  <c r="BZ108" i="5"/>
  <c r="CA108" i="5"/>
  <c r="CG108" i="5"/>
  <c r="L109" i="5"/>
  <c r="O109" i="5"/>
  <c r="R109" i="5"/>
  <c r="U109" i="5"/>
  <c r="X109" i="5"/>
  <c r="AA109" i="5"/>
  <c r="AD109" i="5"/>
  <c r="AE109" i="5"/>
  <c r="AF109" i="5"/>
  <c r="AI109" i="5"/>
  <c r="AJ109" i="5"/>
  <c r="AK109" i="5"/>
  <c r="AN109" i="5"/>
  <c r="AO109" i="5"/>
  <c r="AZ109" i="5"/>
  <c r="AP109" i="5"/>
  <c r="AQ109" i="5"/>
  <c r="BE109" i="5"/>
  <c r="BJ109" i="5"/>
  <c r="BO109" i="5"/>
  <c r="BR109" i="5"/>
  <c r="BZ109" i="5"/>
  <c r="CA109" i="5"/>
  <c r="L110" i="5"/>
  <c r="O110" i="5"/>
  <c r="R110" i="5"/>
  <c r="U110" i="5"/>
  <c r="X110" i="5"/>
  <c r="AA110" i="5"/>
  <c r="AD110" i="5"/>
  <c r="AE110" i="5"/>
  <c r="AF110" i="5"/>
  <c r="AI110" i="5"/>
  <c r="AJ110" i="5"/>
  <c r="AK110" i="5"/>
  <c r="AN110" i="5"/>
  <c r="AO110" i="5"/>
  <c r="AZ110" i="5"/>
  <c r="AP110" i="5"/>
  <c r="AQ110" i="5"/>
  <c r="BE110" i="5"/>
  <c r="BJ110" i="5"/>
  <c r="BL110" i="5"/>
  <c r="BO110" i="5"/>
  <c r="BR110" i="5"/>
  <c r="BZ110" i="5"/>
  <c r="CA110" i="5"/>
  <c r="L111" i="5"/>
  <c r="O111" i="5"/>
  <c r="R111" i="5"/>
  <c r="U111" i="5"/>
  <c r="X111" i="5"/>
  <c r="AA111" i="5"/>
  <c r="AD111" i="5"/>
  <c r="AE111" i="5"/>
  <c r="AK111" i="5"/>
  <c r="AN111" i="5"/>
  <c r="AO111" i="5"/>
  <c r="AZ111" i="5"/>
  <c r="AP111" i="5"/>
  <c r="AQ111" i="5"/>
  <c r="BE111" i="5"/>
  <c r="BJ111" i="5"/>
  <c r="BR111" i="5"/>
  <c r="BZ111" i="5"/>
  <c r="CA111" i="5"/>
  <c r="X112" i="5"/>
  <c r="AA112" i="5"/>
  <c r="AD112" i="5"/>
  <c r="AE112" i="5"/>
  <c r="AF112" i="5"/>
  <c r="AK112" i="5"/>
  <c r="AN112" i="5"/>
  <c r="AO112" i="5"/>
  <c r="AZ112" i="5"/>
  <c r="AP112" i="5"/>
  <c r="AQ112" i="5"/>
  <c r="BJ112" i="5"/>
  <c r="BL112" i="5"/>
  <c r="BO112" i="5"/>
  <c r="BR112" i="5"/>
  <c r="BZ112" i="5"/>
  <c r="CA112" i="5"/>
  <c r="CG112" i="5"/>
  <c r="AD113" i="5"/>
  <c r="BJ113" i="5"/>
  <c r="BK113" i="5"/>
  <c r="BL113" i="5"/>
  <c r="BR113" i="5"/>
  <c r="BW113" i="5"/>
  <c r="CG113" i="5"/>
  <c r="BL114" i="5"/>
  <c r="BZ114" i="5"/>
  <c r="CA114" i="5"/>
  <c r="CG114" i="5"/>
  <c r="X115" i="5"/>
  <c r="Y115" i="5"/>
  <c r="AA115" i="5"/>
  <c r="AD115" i="5"/>
  <c r="AE115" i="5"/>
  <c r="AF115" i="5"/>
  <c r="AI115" i="5"/>
  <c r="AJ115" i="5"/>
  <c r="AK115" i="5"/>
  <c r="AN115" i="5"/>
  <c r="AO115" i="5"/>
  <c r="AP115" i="5"/>
  <c r="AQ115" i="5"/>
  <c r="BJ115" i="5"/>
  <c r="BL115" i="5"/>
  <c r="BO115" i="5"/>
  <c r="BR115" i="5"/>
  <c r="AY116" i="5"/>
  <c r="BD116" i="5"/>
  <c r="BI116" i="5"/>
  <c r="BJ116" i="5"/>
  <c r="BW116" i="5"/>
  <c r="AR117" i="5"/>
  <c r="AS117" i="5"/>
  <c r="AR118" i="5"/>
  <c r="AS118" i="5"/>
  <c r="L127" i="5"/>
  <c r="O127" i="5"/>
  <c r="R127" i="5"/>
  <c r="U127" i="5"/>
  <c r="X127" i="5"/>
  <c r="AA127" i="5"/>
  <c r="AD127" i="5"/>
  <c r="AE127" i="5"/>
  <c r="AF127" i="5"/>
  <c r="AI127" i="5"/>
  <c r="AJ127" i="5"/>
  <c r="AK127" i="5"/>
  <c r="AL127" i="5"/>
  <c r="AN127" i="5"/>
  <c r="AO127" i="5"/>
  <c r="AZ127" i="5"/>
  <c r="AP127" i="5"/>
  <c r="AQ127" i="5"/>
  <c r="BE127" i="5"/>
  <c r="BJ127" i="5"/>
  <c r="BL127" i="5"/>
  <c r="BO127" i="5"/>
  <c r="BR127" i="5"/>
  <c r="BZ127" i="5"/>
  <c r="CA127" i="5"/>
  <c r="CF127" i="5"/>
  <c r="CG127" i="5"/>
  <c r="L128" i="5"/>
  <c r="O128" i="5"/>
  <c r="R128" i="5"/>
  <c r="U128" i="5"/>
  <c r="X128" i="5"/>
  <c r="AA128" i="5"/>
  <c r="AE128" i="5"/>
  <c r="AF128" i="5"/>
  <c r="AK128" i="5"/>
  <c r="AL128" i="5"/>
  <c r="AN128" i="5"/>
  <c r="AO128" i="5"/>
  <c r="AP128" i="5"/>
  <c r="AQ128" i="5"/>
  <c r="BE128" i="5"/>
  <c r="BJ128" i="5"/>
  <c r="BR128" i="5"/>
  <c r="BZ128" i="5"/>
  <c r="CA128" i="5"/>
  <c r="B129" i="5"/>
  <c r="C129" i="5"/>
  <c r="F129" i="5"/>
  <c r="I129" i="5"/>
  <c r="L129" i="5"/>
  <c r="O129" i="5"/>
  <c r="R129" i="5"/>
  <c r="U129" i="5"/>
  <c r="X129" i="5"/>
  <c r="AA129" i="5"/>
  <c r="AD129" i="5"/>
  <c r="AE129" i="5"/>
  <c r="AF129" i="5"/>
  <c r="BO129" i="5"/>
  <c r="BP129" i="5"/>
  <c r="BQ129" i="5"/>
  <c r="AI129" i="5"/>
  <c r="AJ129" i="5"/>
  <c r="AK129" i="5"/>
  <c r="AL129" i="5"/>
  <c r="AN129" i="5"/>
  <c r="AO129" i="5"/>
  <c r="AZ129" i="5"/>
  <c r="AP129" i="5"/>
  <c r="AQ129" i="5"/>
  <c r="BE129" i="5"/>
  <c r="BJ129" i="5"/>
  <c r="BL129" i="5"/>
  <c r="BR129" i="5"/>
  <c r="CF129" i="5"/>
  <c r="CG129" i="5"/>
  <c r="B130" i="5"/>
  <c r="X130" i="5"/>
  <c r="AA130" i="5"/>
  <c r="AD130" i="5"/>
  <c r="AE130" i="5"/>
  <c r="AF130" i="5"/>
  <c r="AK130" i="5"/>
  <c r="AL130" i="5"/>
  <c r="AN130" i="5"/>
  <c r="AO130" i="5"/>
  <c r="AZ130" i="5"/>
  <c r="AP130" i="5"/>
  <c r="AQ130" i="5"/>
  <c r="BE130" i="5"/>
  <c r="BJ130" i="5"/>
  <c r="BO130" i="5"/>
  <c r="F131" i="5"/>
  <c r="I131" i="5"/>
  <c r="L131" i="5"/>
  <c r="O131" i="5"/>
  <c r="R131" i="5"/>
  <c r="U131" i="5"/>
  <c r="X131" i="5"/>
  <c r="AA131" i="5"/>
  <c r="AE131" i="5"/>
  <c r="AF131" i="5"/>
  <c r="AK131" i="5"/>
  <c r="AL131" i="5"/>
  <c r="AN131" i="5"/>
  <c r="AO131" i="5"/>
  <c r="AZ131" i="5"/>
  <c r="AP131" i="5"/>
  <c r="AQ131" i="5"/>
  <c r="BE131" i="5"/>
  <c r="BJ131" i="5"/>
  <c r="BL131" i="5"/>
  <c r="BR131" i="5"/>
  <c r="BZ131" i="5"/>
  <c r="CA131" i="5"/>
  <c r="CF131" i="5"/>
  <c r="CG131" i="5"/>
  <c r="B132" i="5"/>
  <c r="C132" i="5"/>
  <c r="F132" i="5"/>
  <c r="I132" i="5"/>
  <c r="L132" i="5"/>
  <c r="O132" i="5"/>
  <c r="R132" i="5"/>
  <c r="U132" i="5"/>
  <c r="X132" i="5"/>
  <c r="AA132" i="5"/>
  <c r="AD132" i="5"/>
  <c r="AE132" i="5"/>
  <c r="AF132" i="5"/>
  <c r="AI132" i="5"/>
  <c r="AJ132" i="5"/>
  <c r="AK132" i="5"/>
  <c r="AL132" i="5"/>
  <c r="AN132" i="5"/>
  <c r="AO132" i="5"/>
  <c r="AZ132" i="5"/>
  <c r="AP132" i="5"/>
  <c r="AQ132" i="5"/>
  <c r="BE132" i="5"/>
  <c r="BJ132" i="5"/>
  <c r="BL132" i="5"/>
  <c r="BO132" i="5"/>
  <c r="BP132" i="5"/>
  <c r="BQ132" i="5"/>
  <c r="BR132" i="5"/>
  <c r="BZ132" i="5"/>
  <c r="CA132" i="5"/>
  <c r="CF132" i="5"/>
  <c r="CG132" i="5"/>
  <c r="L133" i="5"/>
  <c r="O133" i="5"/>
  <c r="R133" i="5"/>
  <c r="U133" i="5"/>
  <c r="X133" i="5"/>
  <c r="AA133" i="5"/>
  <c r="AD133" i="5"/>
  <c r="AE133" i="5"/>
  <c r="AF133" i="5"/>
  <c r="AK133" i="5"/>
  <c r="AL133" i="5"/>
  <c r="AN133" i="5"/>
  <c r="AO133" i="5"/>
  <c r="AZ133" i="5"/>
  <c r="AS133" i="5"/>
  <c r="AV133" i="5"/>
  <c r="BA133" i="5"/>
  <c r="AP133" i="5"/>
  <c r="AQ133" i="5"/>
  <c r="BE133" i="5"/>
  <c r="BJ133" i="5"/>
  <c r="BR133" i="5"/>
  <c r="BZ133" i="5"/>
  <c r="CA133" i="5"/>
  <c r="CF133" i="5"/>
  <c r="CG133" i="5"/>
  <c r="L134" i="5"/>
  <c r="O134" i="5"/>
  <c r="R134" i="5"/>
  <c r="U134" i="5"/>
  <c r="X134" i="5"/>
  <c r="AA134" i="5"/>
  <c r="AD134" i="5"/>
  <c r="AE134" i="5"/>
  <c r="AF134" i="5"/>
  <c r="AI134" i="5"/>
  <c r="AJ134" i="5"/>
  <c r="AK134" i="5"/>
  <c r="AL134" i="5"/>
  <c r="AN134" i="5"/>
  <c r="AO134" i="5"/>
  <c r="AZ134" i="5"/>
  <c r="AP134" i="5"/>
  <c r="AQ134" i="5"/>
  <c r="BE134" i="5"/>
  <c r="BJ134" i="5"/>
  <c r="BL134" i="5"/>
  <c r="BO134" i="5"/>
  <c r="BR134" i="5"/>
  <c r="CF134" i="5"/>
  <c r="CG134" i="5"/>
  <c r="B135" i="5"/>
  <c r="L135" i="5"/>
  <c r="U135" i="5"/>
  <c r="BK135" i="5"/>
  <c r="BL135" i="5"/>
  <c r="BM135" i="5"/>
  <c r="BN135" i="5"/>
  <c r="BO135" i="5"/>
  <c r="BP135" i="5"/>
  <c r="BQ135" i="5"/>
  <c r="BR135" i="5"/>
  <c r="U136" i="5"/>
  <c r="X136" i="5"/>
  <c r="AA136" i="5"/>
  <c r="AD136" i="5"/>
  <c r="AE136" i="5"/>
  <c r="AF136" i="5"/>
  <c r="AK136" i="5"/>
  <c r="AL136" i="5"/>
  <c r="AN136" i="5"/>
  <c r="AO136" i="5"/>
  <c r="AZ136" i="5"/>
  <c r="AP136" i="5"/>
  <c r="AQ136" i="5"/>
  <c r="BE136" i="5"/>
  <c r="BJ136" i="5"/>
  <c r="BR136" i="5"/>
  <c r="BZ136" i="5"/>
  <c r="CA136" i="5"/>
  <c r="U137" i="5"/>
  <c r="X137" i="5"/>
  <c r="AA137" i="5"/>
  <c r="AD137" i="5"/>
  <c r="AE137" i="5"/>
  <c r="AF137" i="5"/>
  <c r="AK137" i="5"/>
  <c r="AL137" i="5"/>
  <c r="AN137" i="5"/>
  <c r="AO137" i="5"/>
  <c r="AZ137" i="5"/>
  <c r="AP137" i="5"/>
  <c r="AQ137" i="5"/>
  <c r="BE137" i="5"/>
  <c r="BJ137" i="5"/>
  <c r="BL137" i="5"/>
  <c r="BO137" i="5"/>
  <c r="BR137" i="5"/>
  <c r="BZ137" i="5"/>
  <c r="CA137" i="5"/>
  <c r="CF137" i="5"/>
  <c r="CG137" i="5"/>
  <c r="U138" i="5"/>
  <c r="X138" i="5"/>
  <c r="AA138" i="5"/>
  <c r="AD138" i="5"/>
  <c r="AE138" i="5"/>
  <c r="AF138" i="5"/>
  <c r="AK138" i="5"/>
  <c r="AL138" i="5"/>
  <c r="AN138" i="5"/>
  <c r="AO138" i="5"/>
  <c r="AZ138" i="5"/>
  <c r="AP138" i="5"/>
  <c r="AQ138" i="5"/>
  <c r="BE138" i="5"/>
  <c r="BJ138" i="5"/>
  <c r="BL138" i="5"/>
  <c r="BO138" i="5"/>
  <c r="BR138" i="5"/>
  <c r="CF138" i="5"/>
  <c r="CG138" i="5"/>
  <c r="X139" i="5"/>
  <c r="AA139" i="5"/>
  <c r="AD139" i="5"/>
  <c r="AE139" i="5"/>
  <c r="AF139" i="5"/>
  <c r="AI139" i="5"/>
  <c r="AJ139" i="5"/>
  <c r="AK139" i="5"/>
  <c r="AL139" i="5"/>
  <c r="AN139" i="5"/>
  <c r="AO139" i="5"/>
  <c r="AP139" i="5"/>
  <c r="AQ139" i="5"/>
  <c r="BJ139" i="5"/>
  <c r="BL139" i="5"/>
  <c r="BO139" i="5"/>
  <c r="BR139" i="5"/>
  <c r="BL140" i="5"/>
  <c r="BO140" i="5"/>
  <c r="BP140" i="5"/>
  <c r="BQ140" i="5"/>
  <c r="BR140" i="5"/>
  <c r="BU140" i="5"/>
  <c r="AY141" i="5"/>
  <c r="BD141" i="5"/>
  <c r="BE141" i="5"/>
  <c r="BI141" i="5"/>
  <c r="BW141" i="5"/>
  <c r="AD144" i="5"/>
  <c r="AD145" i="5"/>
  <c r="X154" i="5"/>
  <c r="AA154" i="5"/>
  <c r="AD154" i="5"/>
  <c r="AE154" i="5"/>
  <c r="AF154" i="5"/>
  <c r="AK154" i="5"/>
  <c r="AL154" i="5"/>
  <c r="AN154" i="5"/>
  <c r="AO154" i="5"/>
  <c r="AZ154" i="5"/>
  <c r="AP154" i="5"/>
  <c r="AQ154" i="5"/>
  <c r="BE154" i="5"/>
  <c r="BJ154" i="5"/>
  <c r="BR154" i="5"/>
  <c r="BZ154" i="5"/>
  <c r="CA154" i="5"/>
  <c r="CF154" i="5"/>
  <c r="CG154" i="5"/>
  <c r="L155" i="5"/>
  <c r="O155" i="5"/>
  <c r="R155" i="5"/>
  <c r="U155" i="5"/>
  <c r="X155" i="5"/>
  <c r="AA155" i="5"/>
  <c r="AD155" i="5"/>
  <c r="AE155" i="5"/>
  <c r="AF155" i="5"/>
  <c r="AK155" i="5"/>
  <c r="AL155" i="5"/>
  <c r="AN155" i="5"/>
  <c r="AO155" i="5"/>
  <c r="AZ155" i="5"/>
  <c r="AP155" i="5"/>
  <c r="AQ155" i="5"/>
  <c r="BE155" i="5"/>
  <c r="BJ155" i="5"/>
  <c r="BO155" i="5"/>
  <c r="BR155" i="5"/>
  <c r="L156" i="5"/>
  <c r="O156" i="5"/>
  <c r="AD156" i="5"/>
  <c r="AE156" i="5"/>
  <c r="AK156" i="5"/>
  <c r="AL156" i="5"/>
  <c r="AN156" i="5"/>
  <c r="AO156" i="5"/>
  <c r="AZ156" i="5"/>
  <c r="AP156" i="5"/>
  <c r="AQ156" i="5"/>
  <c r="BE156" i="5"/>
  <c r="BJ156" i="5"/>
  <c r="BO156" i="5"/>
  <c r="B157" i="5"/>
  <c r="C157" i="5"/>
  <c r="F157" i="5"/>
  <c r="I157" i="5"/>
  <c r="L157" i="5"/>
  <c r="O157" i="5"/>
  <c r="R157" i="5"/>
  <c r="U157" i="5"/>
  <c r="X157" i="5"/>
  <c r="AA157" i="5"/>
  <c r="AD157" i="5"/>
  <c r="AE157" i="5"/>
  <c r="AF157" i="5"/>
  <c r="AI157" i="5"/>
  <c r="AJ157" i="5"/>
  <c r="AK157" i="5"/>
  <c r="AL157" i="5"/>
  <c r="AN157" i="5"/>
  <c r="AO157" i="5"/>
  <c r="AP157" i="5"/>
  <c r="AQ157" i="5"/>
  <c r="BJ157" i="5"/>
  <c r="BL157" i="5"/>
  <c r="BO157" i="5"/>
  <c r="BR157" i="5"/>
  <c r="AD158" i="5"/>
  <c r="AE158" i="5"/>
  <c r="AK158" i="5"/>
  <c r="AL158" i="5"/>
  <c r="AN158" i="5"/>
  <c r="AO158" i="5"/>
  <c r="AZ158" i="5"/>
  <c r="AP158" i="5"/>
  <c r="AQ158" i="5"/>
  <c r="BE158" i="5"/>
  <c r="BJ158" i="5"/>
  <c r="BO158" i="5"/>
  <c r="L159" i="5"/>
  <c r="O159" i="5"/>
  <c r="R159" i="5"/>
  <c r="U159" i="5"/>
  <c r="X159" i="5"/>
  <c r="AA159" i="5"/>
  <c r="AD159" i="5"/>
  <c r="AE159" i="5"/>
  <c r="AF159" i="5"/>
  <c r="AK159" i="5"/>
  <c r="AL159" i="5"/>
  <c r="AN159" i="5"/>
  <c r="AO159" i="5"/>
  <c r="AZ159" i="5"/>
  <c r="AS159" i="5"/>
  <c r="AV159" i="5"/>
  <c r="BA159" i="5"/>
  <c r="AP159" i="5"/>
  <c r="AQ159" i="5"/>
  <c r="BE159" i="5"/>
  <c r="BJ159" i="5"/>
  <c r="BW159" i="5"/>
  <c r="BW174" i="5"/>
  <c r="I160" i="5"/>
  <c r="L160" i="5"/>
  <c r="O160" i="5"/>
  <c r="R160" i="5"/>
  <c r="U160" i="5"/>
  <c r="X160" i="5"/>
  <c r="AA160" i="5"/>
  <c r="AD160" i="5"/>
  <c r="AE160" i="5"/>
  <c r="AF160" i="5"/>
  <c r="AK160" i="5"/>
  <c r="AL160" i="5"/>
  <c r="AN160" i="5"/>
  <c r="AO160" i="5"/>
  <c r="AZ160" i="5"/>
  <c r="AP160" i="5"/>
  <c r="AQ160" i="5"/>
  <c r="BE160" i="5"/>
  <c r="BJ160" i="5"/>
  <c r="BL160" i="5"/>
  <c r="BO160" i="5"/>
  <c r="BR160" i="5"/>
  <c r="B161" i="5"/>
  <c r="C161" i="5"/>
  <c r="F161" i="5"/>
  <c r="I161" i="5"/>
  <c r="L161" i="5"/>
  <c r="O161" i="5"/>
  <c r="R161" i="5"/>
  <c r="U161" i="5"/>
  <c r="X161" i="5"/>
  <c r="AA161" i="5"/>
  <c r="AD161" i="5"/>
  <c r="AE161" i="5"/>
  <c r="AF161" i="5"/>
  <c r="AK161" i="5"/>
  <c r="AL161" i="5"/>
  <c r="AN161" i="5"/>
  <c r="AO161" i="5"/>
  <c r="AZ161" i="5"/>
  <c r="AP161" i="5"/>
  <c r="AQ161" i="5"/>
  <c r="BE161" i="5"/>
  <c r="BJ161" i="5"/>
  <c r="BL161" i="5"/>
  <c r="BO161" i="5"/>
  <c r="BR161" i="5"/>
  <c r="BZ161" i="5"/>
  <c r="CA161" i="5"/>
  <c r="CF161" i="5"/>
  <c r="CG161" i="5"/>
  <c r="B162" i="5"/>
  <c r="C162" i="5"/>
  <c r="F162" i="5"/>
  <c r="I162" i="5"/>
  <c r="L162" i="5"/>
  <c r="O162" i="5"/>
  <c r="R162" i="5"/>
  <c r="U162" i="5"/>
  <c r="X162" i="5"/>
  <c r="AA162" i="5"/>
  <c r="AD162" i="5"/>
  <c r="AE162" i="5"/>
  <c r="AF162" i="5"/>
  <c r="AK162" i="5"/>
  <c r="AL162" i="5"/>
  <c r="AN162" i="5"/>
  <c r="AO162" i="5"/>
  <c r="AZ162" i="5"/>
  <c r="AP162" i="5"/>
  <c r="AQ162" i="5"/>
  <c r="BE162" i="5"/>
  <c r="BJ162" i="5"/>
  <c r="BL162" i="5"/>
  <c r="BO162" i="5"/>
  <c r="BR162" i="5"/>
  <c r="BZ162" i="5"/>
  <c r="CA162" i="5"/>
  <c r="CF162" i="5"/>
  <c r="CG162" i="5"/>
  <c r="B163" i="5"/>
  <c r="C163" i="5"/>
  <c r="F163" i="5"/>
  <c r="I163" i="5"/>
  <c r="L163" i="5"/>
  <c r="O163" i="5"/>
  <c r="R163" i="5"/>
  <c r="U163" i="5"/>
  <c r="X163" i="5"/>
  <c r="AA163" i="5"/>
  <c r="AD163" i="5"/>
  <c r="AE163" i="5"/>
  <c r="AF163" i="5"/>
  <c r="AK163" i="5"/>
  <c r="AL163" i="5"/>
  <c r="AN163" i="5"/>
  <c r="AO163" i="5"/>
  <c r="AZ163" i="5"/>
  <c r="AP163" i="5"/>
  <c r="AQ163" i="5"/>
  <c r="BE163" i="5"/>
  <c r="BJ163" i="5"/>
  <c r="BL163" i="5"/>
  <c r="BO163" i="5"/>
  <c r="BR163" i="5"/>
  <c r="CF163" i="5"/>
  <c r="CG163" i="5"/>
  <c r="B164" i="5"/>
  <c r="C164" i="5"/>
  <c r="F164" i="5"/>
  <c r="I164" i="5"/>
  <c r="L164" i="5"/>
  <c r="O164" i="5"/>
  <c r="R164" i="5"/>
  <c r="U164" i="5"/>
  <c r="X164" i="5"/>
  <c r="AA164" i="5"/>
  <c r="AD164" i="5"/>
  <c r="AE164" i="5"/>
  <c r="AF164" i="5"/>
  <c r="AK164" i="5"/>
  <c r="AL164" i="5"/>
  <c r="AN164" i="5"/>
  <c r="AO164" i="5"/>
  <c r="AZ164" i="5"/>
  <c r="AP164" i="5"/>
  <c r="AQ164" i="5"/>
  <c r="BE164" i="5"/>
  <c r="BJ164" i="5"/>
  <c r="BL164" i="5"/>
  <c r="BO164" i="5"/>
  <c r="BR164" i="5"/>
  <c r="CF164" i="5"/>
  <c r="CG164" i="5"/>
  <c r="B165" i="5"/>
  <c r="C165" i="5"/>
  <c r="L165" i="5"/>
  <c r="O165" i="5"/>
  <c r="R165" i="5"/>
  <c r="U165" i="5"/>
  <c r="X165" i="5"/>
  <c r="AA165" i="5"/>
  <c r="AD165" i="5"/>
  <c r="AE165" i="5"/>
  <c r="AF165" i="5"/>
  <c r="AI165" i="5"/>
  <c r="AJ165" i="5"/>
  <c r="AK165" i="5"/>
  <c r="AL165" i="5"/>
  <c r="AN165" i="5"/>
  <c r="AO165" i="5"/>
  <c r="AZ165" i="5"/>
  <c r="AP165" i="5"/>
  <c r="AQ165" i="5"/>
  <c r="BJ165" i="5"/>
  <c r="BL165" i="5"/>
  <c r="BO165" i="5"/>
  <c r="BR165" i="5"/>
  <c r="CF165" i="5"/>
  <c r="CG165" i="5"/>
  <c r="B166" i="5"/>
  <c r="C166" i="5"/>
  <c r="F166" i="5"/>
  <c r="I166" i="5"/>
  <c r="L166" i="5"/>
  <c r="O166" i="5"/>
  <c r="R166" i="5"/>
  <c r="U166" i="5"/>
  <c r="X166" i="5"/>
  <c r="AA166" i="5"/>
  <c r="AD166" i="5"/>
  <c r="AE166" i="5"/>
  <c r="AF166" i="5"/>
  <c r="AI166" i="5"/>
  <c r="AJ166" i="5"/>
  <c r="AK166" i="5"/>
  <c r="AL166" i="5"/>
  <c r="AN166" i="5"/>
  <c r="AO166" i="5"/>
  <c r="AZ166" i="5"/>
  <c r="AS166" i="5"/>
  <c r="BB166" i="5"/>
  <c r="BC166" i="5"/>
  <c r="AP166" i="5"/>
  <c r="AQ166" i="5"/>
  <c r="BE166" i="5"/>
  <c r="BJ166" i="5"/>
  <c r="BL166" i="5"/>
  <c r="BO166" i="5"/>
  <c r="BR166" i="5"/>
  <c r="CF166" i="5"/>
  <c r="CG166" i="5"/>
  <c r="B167" i="5"/>
  <c r="C167" i="5"/>
  <c r="F167" i="5"/>
  <c r="I167" i="5"/>
  <c r="L167" i="5"/>
  <c r="O167" i="5"/>
  <c r="R167" i="5"/>
  <c r="U167" i="5"/>
  <c r="X167" i="5"/>
  <c r="AA167" i="5"/>
  <c r="AD167" i="5"/>
  <c r="AE167" i="5"/>
  <c r="AF167" i="5"/>
  <c r="AI167" i="5"/>
  <c r="AJ167" i="5"/>
  <c r="AK167" i="5"/>
  <c r="AL167" i="5"/>
  <c r="AN167" i="5"/>
  <c r="AO167" i="5"/>
  <c r="AZ167" i="5"/>
  <c r="AP167" i="5"/>
  <c r="AQ167" i="5"/>
  <c r="BE167" i="5"/>
  <c r="BJ167" i="5"/>
  <c r="BL167" i="5"/>
  <c r="BO167" i="5"/>
  <c r="BR167" i="5"/>
  <c r="BZ167" i="5"/>
  <c r="CA167" i="5"/>
  <c r="CF167" i="5"/>
  <c r="CG167" i="5"/>
  <c r="B168" i="5"/>
  <c r="C168" i="5"/>
  <c r="D168" i="5"/>
  <c r="F168" i="5"/>
  <c r="I168" i="5"/>
  <c r="L168" i="5"/>
  <c r="O168" i="5"/>
  <c r="R168" i="5"/>
  <c r="U168" i="5"/>
  <c r="X168" i="5"/>
  <c r="AA168" i="5"/>
  <c r="AD168" i="5"/>
  <c r="AE168" i="5"/>
  <c r="AF168" i="5"/>
  <c r="AI168" i="5"/>
  <c r="AJ168" i="5"/>
  <c r="AK168" i="5"/>
  <c r="AL168" i="5"/>
  <c r="AL169" i="5"/>
  <c r="AL170" i="5"/>
  <c r="AL171" i="5"/>
  <c r="AL172" i="5"/>
  <c r="AL174" i="5"/>
  <c r="AN168" i="5"/>
  <c r="AO168" i="5"/>
  <c r="AZ168" i="5"/>
  <c r="AP168" i="5"/>
  <c r="AQ168" i="5"/>
  <c r="BE168" i="5"/>
  <c r="BJ168" i="5"/>
  <c r="BL168" i="5"/>
  <c r="BO168" i="5"/>
  <c r="BR168" i="5"/>
  <c r="CF168" i="5"/>
  <c r="CG168" i="5"/>
  <c r="L169" i="5"/>
  <c r="O169" i="5"/>
  <c r="R169" i="5"/>
  <c r="U169" i="5"/>
  <c r="X169" i="5"/>
  <c r="AA169" i="5"/>
  <c r="AD169" i="5"/>
  <c r="AE169" i="5"/>
  <c r="AF169" i="5"/>
  <c r="AK169" i="5"/>
  <c r="AN169" i="5"/>
  <c r="AO169" i="5"/>
  <c r="AZ169" i="5"/>
  <c r="AP169" i="5"/>
  <c r="AQ169" i="5"/>
  <c r="BE169" i="5"/>
  <c r="BJ169" i="5"/>
  <c r="BL169" i="5"/>
  <c r="BR169" i="5"/>
  <c r="L170" i="5"/>
  <c r="O170" i="5"/>
  <c r="R170" i="5"/>
  <c r="U170" i="5"/>
  <c r="X170" i="5"/>
  <c r="AA170" i="5"/>
  <c r="AD170" i="5"/>
  <c r="AE170" i="5"/>
  <c r="AF170" i="5"/>
  <c r="AK170" i="5"/>
  <c r="AN170" i="5"/>
  <c r="AO170" i="5"/>
  <c r="AZ170" i="5"/>
  <c r="AP170" i="5"/>
  <c r="AQ170" i="5"/>
  <c r="BE170" i="5"/>
  <c r="BJ170" i="5"/>
  <c r="BO170" i="5"/>
  <c r="BR170" i="5"/>
  <c r="CF170" i="5"/>
  <c r="CG170" i="5"/>
  <c r="L171" i="5"/>
  <c r="U171" i="5"/>
  <c r="X171" i="5"/>
  <c r="AD171" i="5"/>
  <c r="AK171" i="5"/>
  <c r="AP171" i="5"/>
  <c r="AQ171" i="5"/>
  <c r="BE171" i="5"/>
  <c r="BJ171" i="5"/>
  <c r="BR171" i="5"/>
  <c r="CF171" i="5"/>
  <c r="CG171" i="5"/>
  <c r="B172" i="5"/>
  <c r="C172" i="5"/>
  <c r="F172" i="5"/>
  <c r="I172" i="5"/>
  <c r="O172" i="5"/>
  <c r="R172" i="5"/>
  <c r="AA172" i="5"/>
  <c r="AD172" i="5"/>
  <c r="AE172" i="5"/>
  <c r="AF172" i="5"/>
  <c r="AI172" i="5"/>
  <c r="AJ172" i="5"/>
  <c r="AK172" i="5"/>
  <c r="AN172" i="5"/>
  <c r="AO172" i="5"/>
  <c r="AP172" i="5"/>
  <c r="AQ172" i="5"/>
  <c r="BJ172" i="5"/>
  <c r="BO172" i="5"/>
  <c r="BR172" i="5"/>
  <c r="BZ172" i="5"/>
  <c r="CA172" i="5"/>
  <c r="BZ173" i="5"/>
  <c r="CA173" i="5"/>
  <c r="AY174" i="5"/>
  <c r="BD174" i="5"/>
  <c r="BI174" i="5"/>
  <c r="AD175" i="5"/>
  <c r="AD177" i="5"/>
  <c r="BW178" i="5"/>
  <c r="BW179" i="5"/>
  <c r="B187" i="5"/>
  <c r="C187" i="5"/>
  <c r="F187" i="5"/>
  <c r="L187" i="5"/>
  <c r="O187" i="5"/>
  <c r="R187" i="5"/>
  <c r="U187" i="5"/>
  <c r="X187" i="5"/>
  <c r="AA187" i="5"/>
  <c r="AD187" i="5"/>
  <c r="AE187" i="5"/>
  <c r="AF187" i="5"/>
  <c r="AK187" i="5"/>
  <c r="AL187" i="5"/>
  <c r="AN187" i="5"/>
  <c r="AO187" i="5"/>
  <c r="AP187" i="5"/>
  <c r="AQ187" i="5"/>
  <c r="AR187" i="5"/>
  <c r="AX187" i="5"/>
  <c r="AY187" i="5"/>
  <c r="BJ187" i="5"/>
  <c r="BR187" i="5"/>
  <c r="L188" i="5"/>
  <c r="I188" i="5"/>
  <c r="M188" i="5"/>
  <c r="O188" i="5"/>
  <c r="R188" i="5"/>
  <c r="U188" i="5"/>
  <c r="X188" i="5"/>
  <c r="AA188" i="5"/>
  <c r="AD188" i="5"/>
  <c r="AF188" i="5"/>
  <c r="AK188" i="5"/>
  <c r="AL188" i="5"/>
  <c r="AN188" i="5"/>
  <c r="AO188" i="5"/>
  <c r="AP188" i="5"/>
  <c r="AQ188" i="5"/>
  <c r="AR188" i="5"/>
  <c r="AX188" i="5"/>
  <c r="AY188" i="5"/>
  <c r="BJ188" i="5"/>
  <c r="BE188" i="5"/>
  <c r="BR188" i="5"/>
  <c r="BW188" i="5"/>
  <c r="CF188" i="5"/>
  <c r="CG188" i="5"/>
  <c r="L189" i="5"/>
  <c r="O189" i="5"/>
  <c r="R189" i="5"/>
  <c r="U189" i="5"/>
  <c r="X189" i="5"/>
  <c r="AA189" i="5"/>
  <c r="AD189" i="5"/>
  <c r="AE189" i="5"/>
  <c r="AF189" i="5"/>
  <c r="AK189" i="5"/>
  <c r="AL189" i="5"/>
  <c r="AN189" i="5"/>
  <c r="AO189" i="5"/>
  <c r="AP189" i="5"/>
  <c r="AQ189" i="5"/>
  <c r="AR189" i="5"/>
  <c r="AX189" i="5"/>
  <c r="AY189" i="5"/>
  <c r="BE189" i="5"/>
  <c r="BJ189" i="5"/>
  <c r="BR189" i="5"/>
  <c r="BW189" i="5"/>
  <c r="CF189" i="5"/>
  <c r="CG189" i="5"/>
  <c r="B190" i="5"/>
  <c r="C190" i="5"/>
  <c r="F190" i="5"/>
  <c r="I190" i="5"/>
  <c r="L190" i="5"/>
  <c r="O190" i="5"/>
  <c r="R190" i="5"/>
  <c r="U190" i="5"/>
  <c r="X190" i="5"/>
  <c r="AA190" i="5"/>
  <c r="AD190" i="5"/>
  <c r="AE190" i="5"/>
  <c r="AF190" i="5"/>
  <c r="AK190" i="5"/>
  <c r="AL190" i="5"/>
  <c r="AN190" i="5"/>
  <c r="AO190" i="5"/>
  <c r="AZ190" i="5"/>
  <c r="AP190" i="5"/>
  <c r="AQ190" i="5"/>
  <c r="AR190" i="5"/>
  <c r="AX190" i="5"/>
  <c r="AY190" i="5"/>
  <c r="BJ190" i="5"/>
  <c r="BO190" i="5"/>
  <c r="BR190" i="5"/>
  <c r="BS190" i="5"/>
  <c r="BT190" i="5"/>
  <c r="CF190" i="5"/>
  <c r="CG190" i="5"/>
  <c r="L191" i="5"/>
  <c r="O191" i="5"/>
  <c r="R191" i="5"/>
  <c r="U191" i="5"/>
  <c r="X191" i="5"/>
  <c r="AA191" i="5"/>
  <c r="AD191" i="5"/>
  <c r="AR191" i="5"/>
  <c r="AT191" i="5"/>
  <c r="AU191" i="5"/>
  <c r="AE191" i="5"/>
  <c r="AF191" i="5"/>
  <c r="AK191" i="5"/>
  <c r="AL191" i="5"/>
  <c r="AN191" i="5"/>
  <c r="AO191" i="5"/>
  <c r="AY191" i="5"/>
  <c r="AZ191" i="5"/>
  <c r="AS191" i="5"/>
  <c r="BB191" i="5"/>
  <c r="BC191" i="5"/>
  <c r="AP191" i="5"/>
  <c r="AQ191" i="5"/>
  <c r="AX191" i="5"/>
  <c r="BE191" i="5"/>
  <c r="BJ191" i="5"/>
  <c r="BO191" i="5"/>
  <c r="BP191" i="5"/>
  <c r="BQ191" i="5"/>
  <c r="BR191" i="5"/>
  <c r="CG191" i="5"/>
  <c r="B192" i="5"/>
  <c r="C192" i="5"/>
  <c r="F192" i="5"/>
  <c r="I192" i="5"/>
  <c r="L192" i="5"/>
  <c r="O192" i="5"/>
  <c r="R192" i="5"/>
  <c r="U192" i="5"/>
  <c r="X192" i="5"/>
  <c r="AA192" i="5"/>
  <c r="AD192" i="5"/>
  <c r="AE192" i="5"/>
  <c r="AF192" i="5"/>
  <c r="AK192" i="5"/>
  <c r="AL192" i="5"/>
  <c r="AN192" i="5"/>
  <c r="AO192" i="5"/>
  <c r="AP192" i="5"/>
  <c r="AQ192" i="5"/>
  <c r="AX192" i="5"/>
  <c r="AY192" i="5"/>
  <c r="BE192" i="5"/>
  <c r="BL192" i="5"/>
  <c r="BO192" i="5"/>
  <c r="BR192" i="5"/>
  <c r="B193" i="5"/>
  <c r="C193" i="5"/>
  <c r="F193" i="5"/>
  <c r="I193" i="5"/>
  <c r="L193" i="5"/>
  <c r="O193" i="5"/>
  <c r="R193" i="5"/>
  <c r="U193" i="5"/>
  <c r="X193" i="5"/>
  <c r="AA193" i="5"/>
  <c r="AD193" i="5"/>
  <c r="AE193" i="5"/>
  <c r="AF193" i="5"/>
  <c r="AK193" i="5"/>
  <c r="AL193" i="5"/>
  <c r="AN193" i="5"/>
  <c r="AO193" i="5"/>
  <c r="AP193" i="5"/>
  <c r="AQ193" i="5"/>
  <c r="AX193" i="5"/>
  <c r="AY193" i="5"/>
  <c r="BJ193" i="5"/>
  <c r="BL193" i="5"/>
  <c r="BO193" i="5"/>
  <c r="BR193" i="5"/>
  <c r="BW193" i="5"/>
  <c r="BL194" i="5"/>
  <c r="CF194" i="5"/>
  <c r="CG194" i="5"/>
  <c r="B195" i="5"/>
  <c r="C195" i="5"/>
  <c r="F195" i="5"/>
  <c r="I195" i="5"/>
  <c r="L195" i="5"/>
  <c r="O195" i="5"/>
  <c r="R195" i="5"/>
  <c r="S195" i="5"/>
  <c r="T195" i="5"/>
  <c r="U195" i="5"/>
  <c r="X195" i="5"/>
  <c r="AA195" i="5"/>
  <c r="AD195" i="5"/>
  <c r="AE195" i="5"/>
  <c r="AF195" i="5"/>
  <c r="AK195" i="5"/>
  <c r="AL195" i="5"/>
  <c r="AL196" i="5"/>
  <c r="AN195" i="5"/>
  <c r="AN196" i="5"/>
  <c r="AO195" i="5"/>
  <c r="AP195" i="5"/>
  <c r="AQ195" i="5"/>
  <c r="AX195" i="5"/>
  <c r="AY195" i="5"/>
  <c r="BJ195" i="5"/>
  <c r="BL195" i="5"/>
  <c r="BO195" i="5"/>
  <c r="BR195" i="5"/>
  <c r="CF195" i="5"/>
  <c r="CG195" i="5"/>
  <c r="BD196" i="5"/>
  <c r="BI196" i="5"/>
  <c r="AR197" i="5"/>
  <c r="AS197" i="5"/>
  <c r="AR198" i="5"/>
  <c r="AD196" i="5"/>
  <c r="AT198" i="5"/>
  <c r="AU198" i="5"/>
  <c r="AS198" i="5"/>
  <c r="AY198" i="5"/>
  <c r="AX201" i="5"/>
  <c r="B206" i="5"/>
  <c r="C206" i="5"/>
  <c r="F206" i="5"/>
  <c r="I206" i="5"/>
  <c r="L206" i="5"/>
  <c r="O206" i="5"/>
  <c r="R206" i="5"/>
  <c r="U206" i="5"/>
  <c r="X206" i="5"/>
  <c r="AA206" i="5"/>
  <c r="AD206" i="5"/>
  <c r="AF206" i="5"/>
  <c r="AI206" i="5"/>
  <c r="AI207" i="5"/>
  <c r="AI208" i="5"/>
  <c r="AI209" i="5"/>
  <c r="AI210" i="5"/>
  <c r="AI211" i="5"/>
  <c r="AI212" i="5"/>
  <c r="AI213" i="5"/>
  <c r="AI214" i="5"/>
  <c r="AI215" i="5"/>
  <c r="AI216" i="5"/>
  <c r="AI217" i="5"/>
  <c r="AI218" i="5"/>
  <c r="AI219" i="5"/>
  <c r="AI220" i="5"/>
  <c r="AI221" i="5"/>
  <c r="AI222" i="5"/>
  <c r="AI223" i="5"/>
  <c r="AI224" i="5"/>
  <c r="AI225" i="5"/>
  <c r="AI226" i="5"/>
  <c r="AI227" i="5"/>
  <c r="AI228" i="5"/>
  <c r="AI231" i="5"/>
  <c r="AJ206" i="5"/>
  <c r="AJ207" i="5"/>
  <c r="AJ208" i="5"/>
  <c r="AJ209" i="5"/>
  <c r="AJ210" i="5"/>
  <c r="AJ211" i="5"/>
  <c r="AJ212" i="5"/>
  <c r="AJ213" i="5"/>
  <c r="AJ214" i="5"/>
  <c r="AJ215" i="5"/>
  <c r="AJ216" i="5"/>
  <c r="AJ217" i="5"/>
  <c r="AJ218" i="5"/>
  <c r="AJ219" i="5"/>
  <c r="AJ220" i="5"/>
  <c r="AJ221" i="5"/>
  <c r="AJ222" i="5"/>
  <c r="AJ223" i="5"/>
  <c r="AJ224" i="5"/>
  <c r="AJ225" i="5"/>
  <c r="AJ226" i="5"/>
  <c r="AJ227" i="5"/>
  <c r="AJ228" i="5"/>
  <c r="AJ231" i="5"/>
  <c r="AK206" i="5"/>
  <c r="AL206" i="5"/>
  <c r="AN206" i="5"/>
  <c r="AO206" i="5"/>
  <c r="AZ206" i="5"/>
  <c r="AP206" i="5"/>
  <c r="AQ206" i="5"/>
  <c r="AR206" i="5"/>
  <c r="BJ206" i="5"/>
  <c r="BO206" i="5"/>
  <c r="BR206" i="5"/>
  <c r="B207" i="5"/>
  <c r="C207" i="5"/>
  <c r="F207" i="5"/>
  <c r="I207" i="5"/>
  <c r="L207" i="5"/>
  <c r="N207" i="5"/>
  <c r="O207" i="5"/>
  <c r="R207" i="5"/>
  <c r="U207" i="5"/>
  <c r="X207" i="5"/>
  <c r="AA207" i="5"/>
  <c r="AD207" i="5"/>
  <c r="AE207" i="5"/>
  <c r="AF207" i="5"/>
  <c r="AK207" i="5"/>
  <c r="AL207" i="5"/>
  <c r="AN207" i="5"/>
  <c r="AO207" i="5"/>
  <c r="AZ207" i="5"/>
  <c r="AP207" i="5"/>
  <c r="AQ207" i="5"/>
  <c r="AR207" i="5"/>
  <c r="BJ207" i="5"/>
  <c r="BL207" i="5"/>
  <c r="BM207" i="5"/>
  <c r="BN207" i="5"/>
  <c r="BO207" i="5"/>
  <c r="BR207" i="5"/>
  <c r="BZ207" i="5"/>
  <c r="CA207" i="5"/>
  <c r="B208" i="5"/>
  <c r="C208" i="5"/>
  <c r="F208" i="5"/>
  <c r="I208" i="5"/>
  <c r="L208" i="5"/>
  <c r="O208" i="5"/>
  <c r="R208" i="5"/>
  <c r="U208" i="5"/>
  <c r="X208" i="5"/>
  <c r="AA208" i="5"/>
  <c r="AD208" i="5"/>
  <c r="AE208" i="5"/>
  <c r="AF208" i="5"/>
  <c r="AK208" i="5"/>
  <c r="AL208" i="5"/>
  <c r="AN208" i="5"/>
  <c r="AO208" i="5"/>
  <c r="AZ208" i="5"/>
  <c r="AP208" i="5"/>
  <c r="AQ208" i="5"/>
  <c r="AR208" i="5"/>
  <c r="BJ208" i="5"/>
  <c r="BL208" i="5"/>
  <c r="BO208" i="5"/>
  <c r="BR208" i="5"/>
  <c r="B209" i="5"/>
  <c r="C209" i="5"/>
  <c r="F209" i="5"/>
  <c r="I209" i="5"/>
  <c r="L209" i="5"/>
  <c r="O209" i="5"/>
  <c r="R209" i="5"/>
  <c r="U209" i="5"/>
  <c r="X209" i="5"/>
  <c r="AA209" i="5"/>
  <c r="AD209" i="5"/>
  <c r="AE209" i="5"/>
  <c r="AF209" i="5"/>
  <c r="AK209" i="5"/>
  <c r="AL209" i="5"/>
  <c r="AM209" i="5"/>
  <c r="AN209" i="5"/>
  <c r="AO209" i="5"/>
  <c r="AZ209" i="5"/>
  <c r="AP209" i="5"/>
  <c r="AQ209" i="5"/>
  <c r="BK209" i="5"/>
  <c r="AR209" i="5"/>
  <c r="BJ209" i="5"/>
  <c r="BL209" i="5"/>
  <c r="BO209" i="5"/>
  <c r="BR209" i="5"/>
  <c r="BZ209" i="5"/>
  <c r="CA209" i="5"/>
  <c r="B210" i="5"/>
  <c r="C210" i="5"/>
  <c r="F210" i="5"/>
  <c r="I210" i="5"/>
  <c r="L210" i="5"/>
  <c r="O210" i="5"/>
  <c r="R210" i="5"/>
  <c r="U210" i="5"/>
  <c r="X210" i="5"/>
  <c r="AA210" i="5"/>
  <c r="AD210" i="5"/>
  <c r="AE210" i="5"/>
  <c r="AF210" i="5"/>
  <c r="AK210" i="5"/>
  <c r="AL210" i="5"/>
  <c r="AN210" i="5"/>
  <c r="AO210" i="5"/>
  <c r="AZ210" i="5"/>
  <c r="AP210" i="5"/>
  <c r="AQ210" i="5"/>
  <c r="AR210" i="5"/>
  <c r="BJ210" i="5"/>
  <c r="BL210" i="5"/>
  <c r="BO210" i="5"/>
  <c r="BP210" i="5"/>
  <c r="BQ210" i="5"/>
  <c r="BR210" i="5"/>
  <c r="CF210" i="5"/>
  <c r="CG210" i="5"/>
  <c r="B211" i="5"/>
  <c r="C211" i="5"/>
  <c r="F211" i="5"/>
  <c r="I211" i="5"/>
  <c r="L211" i="5"/>
  <c r="O211" i="5"/>
  <c r="R211" i="5"/>
  <c r="U211" i="5"/>
  <c r="X211" i="5"/>
  <c r="AA211" i="5"/>
  <c r="AD211" i="5"/>
  <c r="AE211" i="5"/>
  <c r="AF211" i="5"/>
  <c r="AK211" i="5"/>
  <c r="AL211" i="5"/>
  <c r="AN211" i="5"/>
  <c r="AO211" i="5"/>
  <c r="AZ211" i="5"/>
  <c r="AP211" i="5"/>
  <c r="AQ211" i="5"/>
  <c r="AR211" i="5"/>
  <c r="BJ211" i="5"/>
  <c r="BL211" i="5"/>
  <c r="BO211" i="5"/>
  <c r="BR211" i="5"/>
  <c r="CF211" i="5"/>
  <c r="CG211" i="5"/>
  <c r="B212" i="5"/>
  <c r="C212" i="5"/>
  <c r="F212" i="5"/>
  <c r="I212" i="5"/>
  <c r="L212" i="5"/>
  <c r="O212" i="5"/>
  <c r="R212" i="5"/>
  <c r="U212" i="5"/>
  <c r="X212" i="5"/>
  <c r="AA212" i="5"/>
  <c r="AD212" i="5"/>
  <c r="AE212" i="5"/>
  <c r="AF212" i="5"/>
  <c r="AK212" i="5"/>
  <c r="AL212" i="5"/>
  <c r="AN212" i="5"/>
  <c r="AO212" i="5"/>
  <c r="AP212" i="5"/>
  <c r="AQ212" i="5"/>
  <c r="AR212" i="5"/>
  <c r="AZ212" i="5"/>
  <c r="BJ212" i="5"/>
  <c r="BL212" i="5"/>
  <c r="BM212" i="5"/>
  <c r="BN212" i="5"/>
  <c r="BO212" i="5"/>
  <c r="BR212" i="5"/>
  <c r="F213" i="5"/>
  <c r="I213" i="5"/>
  <c r="L213" i="5"/>
  <c r="O213" i="5"/>
  <c r="R213" i="5"/>
  <c r="U213" i="5"/>
  <c r="X213" i="5"/>
  <c r="AA213" i="5"/>
  <c r="AD213" i="5"/>
  <c r="AE213" i="5"/>
  <c r="AF213" i="5"/>
  <c r="BL213" i="5"/>
  <c r="BM213" i="5"/>
  <c r="BN213" i="5"/>
  <c r="AK213" i="5"/>
  <c r="AL213" i="5"/>
  <c r="AN213" i="5"/>
  <c r="AO213" i="5"/>
  <c r="AZ213" i="5"/>
  <c r="AP213" i="5"/>
  <c r="AQ213" i="5"/>
  <c r="AR213" i="5"/>
  <c r="BJ213" i="5"/>
  <c r="BR213" i="5"/>
  <c r="CF213" i="5"/>
  <c r="CG213" i="5"/>
  <c r="L214" i="5"/>
  <c r="O214" i="5"/>
  <c r="R214" i="5"/>
  <c r="U214" i="5"/>
  <c r="X214" i="5"/>
  <c r="AA214" i="5"/>
  <c r="AD214" i="5"/>
  <c r="AE214" i="5"/>
  <c r="AF214" i="5"/>
  <c r="AK214" i="5"/>
  <c r="AL214" i="5"/>
  <c r="AL215" i="5"/>
  <c r="AL216" i="5"/>
  <c r="AL217" i="5"/>
  <c r="AL218" i="5"/>
  <c r="AL219" i="5"/>
  <c r="AL220" i="5"/>
  <c r="AL221" i="5"/>
  <c r="AL222" i="5"/>
  <c r="AL223" i="5"/>
  <c r="AL224" i="5"/>
  <c r="AL225" i="5"/>
  <c r="AL226" i="5"/>
  <c r="AL227" i="5"/>
  <c r="AL228" i="5"/>
  <c r="AL231" i="5"/>
  <c r="AN214" i="5"/>
  <c r="AO214" i="5"/>
  <c r="AZ214" i="5"/>
  <c r="AP214" i="5"/>
  <c r="AQ214" i="5"/>
  <c r="AR214" i="5"/>
  <c r="BJ214" i="5"/>
  <c r="BL214" i="5"/>
  <c r="BO214" i="5"/>
  <c r="BR214" i="5"/>
  <c r="L215" i="5"/>
  <c r="O215" i="5"/>
  <c r="R215" i="5"/>
  <c r="U215" i="5"/>
  <c r="X215" i="5"/>
  <c r="AA215" i="5"/>
  <c r="AD215" i="5"/>
  <c r="AE215" i="5"/>
  <c r="AF215" i="5"/>
  <c r="AK215" i="5"/>
  <c r="AN215" i="5"/>
  <c r="AO215" i="5"/>
  <c r="AZ215" i="5"/>
  <c r="AP215" i="5"/>
  <c r="AQ215" i="5"/>
  <c r="AR215" i="5"/>
  <c r="BJ215" i="5"/>
  <c r="BL215" i="5"/>
  <c r="BO215" i="5"/>
  <c r="BP215" i="5"/>
  <c r="BQ215" i="5"/>
  <c r="BR215" i="5"/>
  <c r="BZ215" i="5"/>
  <c r="CA215" i="5"/>
  <c r="CF215" i="5"/>
  <c r="CG215" i="5"/>
  <c r="L216" i="5"/>
  <c r="O216" i="5"/>
  <c r="R216" i="5"/>
  <c r="U216" i="5"/>
  <c r="X216" i="5"/>
  <c r="AA216" i="5"/>
  <c r="AD216" i="5"/>
  <c r="AE216" i="5"/>
  <c r="AF216" i="5"/>
  <c r="AK216" i="5"/>
  <c r="AN216" i="5"/>
  <c r="AO216" i="5"/>
  <c r="AP216" i="5"/>
  <c r="AQ216" i="5"/>
  <c r="AR216" i="5"/>
  <c r="BJ216" i="5"/>
  <c r="BL216" i="5"/>
  <c r="BO216" i="5"/>
  <c r="BR216" i="5"/>
  <c r="BZ216" i="5"/>
  <c r="CA216" i="5"/>
  <c r="L217" i="5"/>
  <c r="O217" i="5"/>
  <c r="R217" i="5"/>
  <c r="U217" i="5"/>
  <c r="X217" i="5"/>
  <c r="Y217" i="5"/>
  <c r="Z217" i="5"/>
  <c r="AA217" i="5"/>
  <c r="AD217" i="5"/>
  <c r="AE217" i="5"/>
  <c r="AF217" i="5"/>
  <c r="AK217" i="5"/>
  <c r="AN217" i="5"/>
  <c r="AO217" i="5"/>
  <c r="AZ217" i="5"/>
  <c r="AP217" i="5"/>
  <c r="AQ217" i="5"/>
  <c r="AR217" i="5"/>
  <c r="BJ217" i="5"/>
  <c r="BO217" i="5"/>
  <c r="BR217" i="5"/>
  <c r="BS217" i="5"/>
  <c r="BT217" i="5"/>
  <c r="BZ217" i="5"/>
  <c r="CA217" i="5"/>
  <c r="CF217" i="5"/>
  <c r="CG217" i="5"/>
  <c r="B218" i="5"/>
  <c r="C218" i="5"/>
  <c r="F218" i="5"/>
  <c r="I218" i="5"/>
  <c r="L218" i="5"/>
  <c r="O218" i="5"/>
  <c r="R218" i="5"/>
  <c r="U218" i="5"/>
  <c r="X218" i="5"/>
  <c r="AA218" i="5"/>
  <c r="AD218" i="5"/>
  <c r="AE218" i="5"/>
  <c r="AF218" i="5"/>
  <c r="AK218" i="5"/>
  <c r="AN218" i="5"/>
  <c r="AO218" i="5"/>
  <c r="AZ218" i="5"/>
  <c r="AP218" i="5"/>
  <c r="AQ218" i="5"/>
  <c r="AR218" i="5"/>
  <c r="BJ218" i="5"/>
  <c r="BL218" i="5"/>
  <c r="BO218" i="5"/>
  <c r="BP218" i="5"/>
  <c r="BQ218" i="5"/>
  <c r="BR218" i="5"/>
  <c r="BZ218" i="5"/>
  <c r="CA218" i="5"/>
  <c r="CF218" i="5"/>
  <c r="CG218" i="5"/>
  <c r="L219" i="5"/>
  <c r="O219" i="5"/>
  <c r="P219" i="5"/>
  <c r="R219" i="5"/>
  <c r="U219" i="5"/>
  <c r="X219" i="5"/>
  <c r="AA219" i="5"/>
  <c r="AD219" i="5"/>
  <c r="AE219" i="5"/>
  <c r="AF219" i="5"/>
  <c r="AK219" i="5"/>
  <c r="AN219" i="5"/>
  <c r="AO219" i="5"/>
  <c r="AZ219" i="5"/>
  <c r="AP219" i="5"/>
  <c r="AQ219" i="5"/>
  <c r="BK219" i="5"/>
  <c r="AR219" i="5"/>
  <c r="BJ219" i="5"/>
  <c r="BL219" i="5"/>
  <c r="BO219" i="5"/>
  <c r="BR219" i="5"/>
  <c r="BZ219" i="5"/>
  <c r="CA219" i="5"/>
  <c r="CF219" i="5"/>
  <c r="CG219" i="5"/>
  <c r="L220" i="5"/>
  <c r="O220" i="5"/>
  <c r="R220" i="5"/>
  <c r="U220" i="5"/>
  <c r="X220" i="5"/>
  <c r="AA220" i="5"/>
  <c r="AD220" i="5"/>
  <c r="AR220" i="5"/>
  <c r="AT220" i="5"/>
  <c r="AU220" i="5"/>
  <c r="AE220" i="5"/>
  <c r="AF220" i="5"/>
  <c r="AK220" i="5"/>
  <c r="AN220" i="5"/>
  <c r="AO220" i="5"/>
  <c r="AP220" i="5"/>
  <c r="AQ220" i="5"/>
  <c r="BJ220" i="5"/>
  <c r="BL220" i="5"/>
  <c r="BO220" i="5"/>
  <c r="BP220" i="5"/>
  <c r="BQ220" i="5"/>
  <c r="BR220" i="5"/>
  <c r="BZ220" i="5"/>
  <c r="CA220" i="5"/>
  <c r="CF220" i="5"/>
  <c r="CG220" i="5"/>
  <c r="L221" i="5"/>
  <c r="O221" i="5"/>
  <c r="R221" i="5"/>
  <c r="U221" i="5"/>
  <c r="X221" i="5"/>
  <c r="AA221" i="5"/>
  <c r="AD221" i="5"/>
  <c r="AE221" i="5"/>
  <c r="AF221" i="5"/>
  <c r="AK221" i="5"/>
  <c r="AN221" i="5"/>
  <c r="AO221" i="5"/>
  <c r="AP221" i="5"/>
  <c r="AQ221" i="5"/>
  <c r="AR221" i="5"/>
  <c r="AZ221" i="5"/>
  <c r="BJ221" i="5"/>
  <c r="BL221" i="5"/>
  <c r="BO221" i="5"/>
  <c r="BR221" i="5"/>
  <c r="CF221" i="5"/>
  <c r="CG221" i="5"/>
  <c r="B222" i="5"/>
  <c r="C222" i="5"/>
  <c r="F222" i="5"/>
  <c r="I222" i="5"/>
  <c r="L222" i="5"/>
  <c r="O222" i="5"/>
  <c r="R222" i="5"/>
  <c r="U222" i="5"/>
  <c r="X222" i="5"/>
  <c r="AA222" i="5"/>
  <c r="AD222" i="5"/>
  <c r="AE222" i="5"/>
  <c r="AF222" i="5"/>
  <c r="AK222" i="5"/>
  <c r="AN222" i="5"/>
  <c r="AO222" i="5"/>
  <c r="AZ222" i="5"/>
  <c r="AP222" i="5"/>
  <c r="AQ222" i="5"/>
  <c r="AR222" i="5"/>
  <c r="BJ222" i="5"/>
  <c r="BL222" i="5"/>
  <c r="BO222" i="5"/>
  <c r="BR222" i="5"/>
  <c r="CG222" i="5"/>
  <c r="B223" i="5"/>
  <c r="C223" i="5"/>
  <c r="F223" i="5"/>
  <c r="I223" i="5"/>
  <c r="X223" i="5"/>
  <c r="AA223" i="5"/>
  <c r="AD223" i="5"/>
  <c r="AE223" i="5"/>
  <c r="AF223" i="5"/>
  <c r="AK223" i="5"/>
  <c r="AN223" i="5"/>
  <c r="AO223" i="5"/>
  <c r="AP223" i="5"/>
  <c r="AQ223" i="5"/>
  <c r="AR223" i="5"/>
  <c r="BJ223" i="5"/>
  <c r="BL223" i="5"/>
  <c r="CF223" i="5"/>
  <c r="CG223" i="5"/>
  <c r="F224" i="5"/>
  <c r="I224" i="5"/>
  <c r="AA224" i="5"/>
  <c r="AB224" i="5"/>
  <c r="AC224" i="5"/>
  <c r="AD224" i="5"/>
  <c r="AE224" i="5"/>
  <c r="AF224" i="5"/>
  <c r="AK224" i="5"/>
  <c r="AN224" i="5"/>
  <c r="AO224" i="5"/>
  <c r="AZ224" i="5"/>
  <c r="AS224" i="5"/>
  <c r="BB224" i="5"/>
  <c r="BC224" i="5"/>
  <c r="AP224" i="5"/>
  <c r="AQ224" i="5"/>
  <c r="AR224" i="5"/>
  <c r="BJ224" i="5"/>
  <c r="BL224" i="5"/>
  <c r="BO224" i="5"/>
  <c r="BS224" i="5"/>
  <c r="BT224" i="5"/>
  <c r="BZ224" i="5"/>
  <c r="CA224" i="5"/>
  <c r="AA225" i="5"/>
  <c r="AB225" i="5"/>
  <c r="AC225" i="5"/>
  <c r="AD225" i="5"/>
  <c r="AE225" i="5"/>
  <c r="AF225" i="5"/>
  <c r="AK225" i="5"/>
  <c r="AN225" i="5"/>
  <c r="AO225" i="5"/>
  <c r="AZ225" i="5"/>
  <c r="AP225" i="5"/>
  <c r="AQ225" i="5"/>
  <c r="BK225" i="5"/>
  <c r="AR225" i="5"/>
  <c r="BJ225" i="5"/>
  <c r="BL225" i="5"/>
  <c r="BR225" i="5"/>
  <c r="CF225" i="5"/>
  <c r="CG225" i="5"/>
  <c r="AA226" i="5"/>
  <c r="AB226" i="5"/>
  <c r="AC226" i="5"/>
  <c r="AD226" i="5"/>
  <c r="AE226" i="5"/>
  <c r="AK226" i="5"/>
  <c r="AN226" i="5"/>
  <c r="AO226" i="5"/>
  <c r="AZ226" i="5"/>
  <c r="AP226" i="5"/>
  <c r="AQ226" i="5"/>
  <c r="AR226" i="5"/>
  <c r="BJ226" i="5"/>
  <c r="BJ227" i="5"/>
  <c r="BJ228" i="5"/>
  <c r="BJ229" i="5"/>
  <c r="BJ231" i="5"/>
  <c r="BZ226" i="5"/>
  <c r="CA226" i="5"/>
  <c r="CF226" i="5"/>
  <c r="CG226" i="5"/>
  <c r="AA227" i="5"/>
  <c r="AB227" i="5"/>
  <c r="AC227" i="5"/>
  <c r="AD227" i="5"/>
  <c r="AE227" i="5"/>
  <c r="AF227" i="5"/>
  <c r="AK227" i="5"/>
  <c r="AN227" i="5"/>
  <c r="AO227" i="5"/>
  <c r="AZ227" i="5"/>
  <c r="AP227" i="5"/>
  <c r="AQ227" i="5"/>
  <c r="AR227" i="5"/>
  <c r="BL227" i="5"/>
  <c r="BR227" i="5"/>
  <c r="BZ227" i="5"/>
  <c r="CA227" i="5"/>
  <c r="AA228" i="5"/>
  <c r="AB228" i="5"/>
  <c r="AC228" i="5"/>
  <c r="AD228" i="5"/>
  <c r="AE228" i="5"/>
  <c r="AF228" i="5"/>
  <c r="AK228" i="5"/>
  <c r="AN228" i="5"/>
  <c r="AO228" i="5"/>
  <c r="AP228" i="5"/>
  <c r="AQ228" i="5"/>
  <c r="AR228" i="5"/>
  <c r="BL228" i="5"/>
  <c r="BO228" i="5"/>
  <c r="BP228" i="5"/>
  <c r="BQ228" i="5"/>
  <c r="BR228" i="5"/>
  <c r="AA229" i="5"/>
  <c r="AD229" i="5"/>
  <c r="BK229" i="5"/>
  <c r="BL229" i="5"/>
  <c r="BM229" i="5"/>
  <c r="BN229" i="5"/>
  <c r="BO229" i="5"/>
  <c r="BP229" i="5"/>
  <c r="BQ229" i="5"/>
  <c r="BR229" i="5"/>
  <c r="BZ229" i="5"/>
  <c r="CA229" i="5"/>
  <c r="AY231" i="5"/>
  <c r="BD231" i="5"/>
  <c r="BI231" i="5"/>
  <c r="BW231" i="5"/>
  <c r="B237" i="5"/>
  <c r="C237" i="5"/>
  <c r="F237" i="5"/>
  <c r="I237" i="5"/>
  <c r="L237" i="5"/>
  <c r="O237" i="5"/>
  <c r="R237" i="5"/>
  <c r="U237" i="5"/>
  <c r="X237" i="5"/>
  <c r="AA237" i="5"/>
  <c r="AD237" i="5"/>
  <c r="AN237" i="5"/>
  <c r="AT237" i="5"/>
  <c r="BL237" i="5"/>
  <c r="BM237" i="5"/>
  <c r="BN237" i="5"/>
  <c r="BP237" i="5"/>
  <c r="BQ237" i="5"/>
  <c r="BR237" i="5"/>
  <c r="BS237" i="5"/>
  <c r="BT237" i="5"/>
  <c r="B238" i="5"/>
  <c r="C238" i="5"/>
  <c r="F238" i="5"/>
  <c r="I238" i="5"/>
  <c r="L238" i="5"/>
  <c r="O238" i="5"/>
  <c r="R238" i="5"/>
  <c r="U238" i="5"/>
  <c r="X238" i="5"/>
  <c r="AA238" i="5"/>
  <c r="AD238" i="5"/>
  <c r="AN238" i="5"/>
  <c r="AT238" i="5"/>
  <c r="BL238" i="5"/>
  <c r="BM238" i="5"/>
  <c r="BN238" i="5"/>
  <c r="BP238" i="5"/>
  <c r="BQ238" i="5"/>
  <c r="BR238" i="5"/>
  <c r="CC238" i="5"/>
  <c r="B239" i="5"/>
  <c r="C239" i="5"/>
  <c r="F239" i="5"/>
  <c r="I239" i="5"/>
  <c r="L239" i="5"/>
  <c r="O239" i="5"/>
  <c r="R239" i="5"/>
  <c r="U239" i="5"/>
  <c r="X239" i="5"/>
  <c r="AA239" i="5"/>
  <c r="AD239" i="5"/>
  <c r="AM239" i="5"/>
  <c r="AT239" i="5"/>
  <c r="AN239" i="5"/>
  <c r="AS239" i="5"/>
  <c r="BL239" i="5"/>
  <c r="BM239" i="5"/>
  <c r="BN239" i="5"/>
  <c r="BP239" i="5"/>
  <c r="BQ239" i="5"/>
  <c r="BR239" i="5"/>
  <c r="CC239" i="5"/>
  <c r="B240" i="5"/>
  <c r="C240" i="5"/>
  <c r="F240" i="5"/>
  <c r="I240" i="5"/>
  <c r="L240" i="5"/>
  <c r="O240" i="5"/>
  <c r="R240" i="5"/>
  <c r="U240" i="5"/>
  <c r="X240" i="5"/>
  <c r="AA240" i="5"/>
  <c r="AD240" i="5"/>
  <c r="AM240" i="5"/>
  <c r="AT240" i="5"/>
  <c r="AN240" i="5"/>
  <c r="AS240" i="5"/>
  <c r="BL240" i="5"/>
  <c r="BM240" i="5"/>
  <c r="BN240" i="5"/>
  <c r="BP240" i="5"/>
  <c r="BQ240" i="5"/>
  <c r="BR240" i="5"/>
  <c r="CC240" i="5"/>
  <c r="B241" i="5"/>
  <c r="C241" i="5"/>
  <c r="D241" i="5"/>
  <c r="F241" i="5"/>
  <c r="I241" i="5"/>
  <c r="L241" i="5"/>
  <c r="O241" i="5"/>
  <c r="R241" i="5"/>
  <c r="U241" i="5"/>
  <c r="X241" i="5"/>
  <c r="AA241" i="5"/>
  <c r="AD241" i="5"/>
  <c r="AM241" i="5"/>
  <c r="AT241" i="5"/>
  <c r="AN241" i="5"/>
  <c r="AS241" i="5"/>
  <c r="BL241" i="5"/>
  <c r="BM241" i="5"/>
  <c r="BN241" i="5"/>
  <c r="BP241" i="5"/>
  <c r="BQ241" i="5"/>
  <c r="BR241" i="5"/>
  <c r="CC241" i="5"/>
  <c r="B242" i="5"/>
  <c r="C242" i="5"/>
  <c r="F242" i="5"/>
  <c r="I242" i="5"/>
  <c r="L242" i="5"/>
  <c r="O242" i="5"/>
  <c r="R242" i="5"/>
  <c r="U242" i="5"/>
  <c r="X242" i="5"/>
  <c r="AA242" i="5"/>
  <c r="AD242" i="5"/>
  <c r="AM242" i="5"/>
  <c r="AT242" i="5"/>
  <c r="AN242" i="5"/>
  <c r="AS242" i="5"/>
  <c r="BL242" i="5"/>
  <c r="BM242" i="5"/>
  <c r="BN242" i="5"/>
  <c r="BP242" i="5"/>
  <c r="BQ242" i="5"/>
  <c r="BR242" i="5"/>
  <c r="CC242" i="5"/>
  <c r="B243" i="5"/>
  <c r="C243" i="5"/>
  <c r="F243" i="5"/>
  <c r="I243" i="5"/>
  <c r="L243" i="5"/>
  <c r="O243" i="5"/>
  <c r="R243" i="5"/>
  <c r="U243" i="5"/>
  <c r="X243" i="5"/>
  <c r="AA243" i="5"/>
  <c r="AD243" i="5"/>
  <c r="AN243" i="5"/>
  <c r="AT243" i="5"/>
  <c r="BL243" i="5"/>
  <c r="BM243" i="5"/>
  <c r="BN243" i="5"/>
  <c r="BP243" i="5"/>
  <c r="BQ243" i="5"/>
  <c r="BR243" i="5"/>
  <c r="BS243" i="5"/>
  <c r="BT243" i="5"/>
  <c r="B244" i="5"/>
  <c r="C244" i="5"/>
  <c r="F244" i="5"/>
  <c r="I244" i="5"/>
  <c r="L244" i="5"/>
  <c r="O244" i="5"/>
  <c r="R244" i="5"/>
  <c r="U244" i="5"/>
  <c r="X244" i="5"/>
  <c r="AA244" i="5"/>
  <c r="AD244" i="5"/>
  <c r="AM244" i="5"/>
  <c r="AT244" i="5"/>
  <c r="AN244" i="5"/>
  <c r="AS244" i="5"/>
  <c r="AS251" i="5"/>
  <c r="BL244" i="5"/>
  <c r="BM244" i="5"/>
  <c r="BN244" i="5"/>
  <c r="BP244" i="5"/>
  <c r="BQ244" i="5"/>
  <c r="BR244" i="5"/>
  <c r="BS244" i="5"/>
  <c r="BT244" i="5"/>
  <c r="B245" i="5"/>
  <c r="C245" i="5"/>
  <c r="F245" i="5"/>
  <c r="I245" i="5"/>
  <c r="L245" i="5"/>
  <c r="O245" i="5"/>
  <c r="R245" i="5"/>
  <c r="U245" i="5"/>
  <c r="X245" i="5"/>
  <c r="AA245" i="5"/>
  <c r="AD245" i="5"/>
  <c r="AM245" i="5"/>
  <c r="AT245" i="5"/>
  <c r="AN245" i="5"/>
  <c r="AS245" i="5"/>
  <c r="BL245" i="5"/>
  <c r="BM245" i="5"/>
  <c r="BN245" i="5"/>
  <c r="BP245" i="5"/>
  <c r="BQ245" i="5"/>
  <c r="BR245" i="5"/>
  <c r="BS245" i="5"/>
  <c r="BT245" i="5"/>
  <c r="B246" i="5"/>
  <c r="C246" i="5"/>
  <c r="F246" i="5"/>
  <c r="I246" i="5"/>
  <c r="L246" i="5"/>
  <c r="O246" i="5"/>
  <c r="R246" i="5"/>
  <c r="U246" i="5"/>
  <c r="X246" i="5"/>
  <c r="AA246" i="5"/>
  <c r="AD246" i="5"/>
  <c r="AM246" i="5"/>
  <c r="AT246" i="5"/>
  <c r="AN246" i="5"/>
  <c r="AS246" i="5"/>
  <c r="BL246" i="5"/>
  <c r="BM246" i="5"/>
  <c r="BN246" i="5"/>
  <c r="BP246" i="5"/>
  <c r="BQ246" i="5"/>
  <c r="BR246" i="5"/>
  <c r="BS246" i="5"/>
  <c r="BT246" i="5"/>
  <c r="B247" i="5"/>
  <c r="C247" i="5"/>
  <c r="F247" i="5"/>
  <c r="I247" i="5"/>
  <c r="L247" i="5"/>
  <c r="O247" i="5"/>
  <c r="R247" i="5"/>
  <c r="U247" i="5"/>
  <c r="X247" i="5"/>
  <c r="AA247" i="5"/>
  <c r="AD247" i="5"/>
  <c r="AM247" i="5"/>
  <c r="AT247" i="5"/>
  <c r="AN247" i="5"/>
  <c r="AS247" i="5"/>
  <c r="BL247" i="5"/>
  <c r="BM247" i="5"/>
  <c r="BN247" i="5"/>
  <c r="BP247" i="5"/>
  <c r="BQ247" i="5"/>
  <c r="BR247" i="5"/>
  <c r="BS247" i="5"/>
  <c r="BT247" i="5"/>
  <c r="B248" i="5"/>
  <c r="C248" i="5"/>
  <c r="F248" i="5"/>
  <c r="I248" i="5"/>
  <c r="L248" i="5"/>
  <c r="O248" i="5"/>
  <c r="R248" i="5"/>
  <c r="U248" i="5"/>
  <c r="X248" i="5"/>
  <c r="AA248" i="5"/>
  <c r="AD248" i="5"/>
  <c r="AM248" i="5"/>
  <c r="AT248" i="5"/>
  <c r="AN248" i="5"/>
  <c r="AS248" i="5"/>
  <c r="BL248" i="5"/>
  <c r="BM248" i="5"/>
  <c r="BN248" i="5"/>
  <c r="BP248" i="5"/>
  <c r="BQ248" i="5"/>
  <c r="BR248" i="5"/>
  <c r="BS248" i="5"/>
  <c r="BT248" i="5"/>
  <c r="B249" i="5"/>
  <c r="C249" i="5"/>
  <c r="F249" i="5"/>
  <c r="I249" i="5"/>
  <c r="L249" i="5"/>
  <c r="O249" i="5"/>
  <c r="R249" i="5"/>
  <c r="U249" i="5"/>
  <c r="X249" i="5"/>
  <c r="AA249" i="5"/>
  <c r="AD249" i="5"/>
  <c r="AM249" i="5"/>
  <c r="AT249" i="5"/>
  <c r="AN249" i="5"/>
  <c r="AS249" i="5"/>
  <c r="BL249" i="5"/>
  <c r="BM249" i="5"/>
  <c r="BN249" i="5"/>
  <c r="BP249" i="5"/>
  <c r="BQ249" i="5"/>
  <c r="BR249" i="5"/>
  <c r="BS249" i="5"/>
  <c r="BT249" i="5"/>
  <c r="B250" i="5"/>
  <c r="C250" i="5"/>
  <c r="F250" i="5"/>
  <c r="I250" i="5"/>
  <c r="L250" i="5"/>
  <c r="O250" i="5"/>
  <c r="R250" i="5"/>
  <c r="U250" i="5"/>
  <c r="X250" i="5"/>
  <c r="AA250" i="5"/>
  <c r="AD250" i="5"/>
  <c r="AN250" i="5"/>
  <c r="AT250" i="5"/>
  <c r="BL250" i="5"/>
  <c r="BM250" i="5"/>
  <c r="BN250" i="5"/>
  <c r="BP250" i="5"/>
  <c r="BQ250" i="5"/>
  <c r="BR250" i="5"/>
  <c r="B251" i="5"/>
  <c r="C251" i="5"/>
  <c r="F251" i="5"/>
  <c r="I251" i="5"/>
  <c r="L251" i="5"/>
  <c r="O251" i="5"/>
  <c r="R251" i="5"/>
  <c r="U251" i="5"/>
  <c r="X251" i="5"/>
  <c r="AD251" i="5"/>
  <c r="AJ251" i="5"/>
  <c r="AK251" i="5"/>
  <c r="AL251" i="5"/>
  <c r="AN251" i="5"/>
  <c r="AP251" i="5"/>
  <c r="AQ251" i="5"/>
  <c r="AR251" i="5"/>
  <c r="AW251" i="5"/>
  <c r="BP251" i="5"/>
  <c r="BQ251" i="5"/>
  <c r="BR251" i="5"/>
  <c r="BS251" i="5"/>
  <c r="BT251" i="5"/>
  <c r="BD253" i="5"/>
  <c r="BI253" i="5"/>
  <c r="D7" i="4"/>
  <c r="E7" i="4"/>
  <c r="G7" i="4"/>
  <c r="H7" i="4"/>
  <c r="J7" i="4"/>
  <c r="K7" i="4"/>
  <c r="P7" i="4"/>
  <c r="Q7" i="4"/>
  <c r="S7" i="4"/>
  <c r="T7" i="4"/>
  <c r="V7" i="4"/>
  <c r="W7" i="4"/>
  <c r="Y7" i="4"/>
  <c r="Z7" i="4"/>
  <c r="AB7" i="4"/>
  <c r="AC7" i="4"/>
  <c r="AG7" i="4"/>
  <c r="AH7" i="4"/>
  <c r="AI7" i="4"/>
  <c r="AI7" i="5"/>
  <c r="AJ7" i="4"/>
  <c r="AJ7" i="5"/>
  <c r="AM7" i="4"/>
  <c r="AM7" i="5"/>
  <c r="AR7" i="4"/>
  <c r="AY7" i="4"/>
  <c r="AZ7" i="4"/>
  <c r="BC7" i="4"/>
  <c r="BD7" i="4"/>
  <c r="BF7" i="4"/>
  <c r="BG7" i="4"/>
  <c r="BL7" i="4"/>
  <c r="BU7" i="5"/>
  <c r="BP7" i="4"/>
  <c r="BR7" i="4"/>
  <c r="BW7" i="4"/>
  <c r="BX7" i="5"/>
  <c r="BW8" i="4"/>
  <c r="BX8" i="5"/>
  <c r="BW9" i="4"/>
  <c r="BX9" i="5"/>
  <c r="BW10" i="4"/>
  <c r="BX10" i="5"/>
  <c r="BW11" i="4"/>
  <c r="BX11" i="5"/>
  <c r="BW12" i="4"/>
  <c r="BX12" i="5"/>
  <c r="BW13" i="4"/>
  <c r="BX13" i="5"/>
  <c r="BX14" i="5"/>
  <c r="BW16" i="4"/>
  <c r="BX16" i="5"/>
  <c r="BW17" i="4"/>
  <c r="BX17" i="5"/>
  <c r="BW18" i="4"/>
  <c r="BX18" i="5"/>
  <c r="BW19" i="4"/>
  <c r="BX19" i="5"/>
  <c r="BW20" i="4"/>
  <c r="BX20" i="5"/>
  <c r="BW21" i="4"/>
  <c r="BX21" i="5"/>
  <c r="BW22" i="4"/>
  <c r="BX22" i="5"/>
  <c r="BW23" i="4"/>
  <c r="BX23" i="5"/>
  <c r="BW24" i="4"/>
  <c r="BX24" i="5"/>
  <c r="BW25" i="4"/>
  <c r="BX25" i="5"/>
  <c r="BW26" i="4"/>
  <c r="BX26" i="5"/>
  <c r="BW27" i="4"/>
  <c r="BX27" i="5"/>
  <c r="BW28" i="4"/>
  <c r="BX28" i="5"/>
  <c r="BW29" i="4"/>
  <c r="BX29" i="5"/>
  <c r="BW30" i="4"/>
  <c r="BX30" i="5"/>
  <c r="BW31" i="4"/>
  <c r="BX31" i="5"/>
  <c r="BW32" i="4"/>
  <c r="BX32" i="5"/>
  <c r="BW34" i="4"/>
  <c r="BX34" i="5"/>
  <c r="BW35" i="4"/>
  <c r="BX35" i="5"/>
  <c r="BW36" i="4"/>
  <c r="BX36" i="5"/>
  <c r="BW37" i="4"/>
  <c r="BX37" i="5"/>
  <c r="BW38" i="4"/>
  <c r="BX38" i="5"/>
  <c r="BW39" i="4"/>
  <c r="BX39" i="5"/>
  <c r="BW40" i="4"/>
  <c r="BX40" i="5"/>
  <c r="BW44" i="4"/>
  <c r="BX44" i="5"/>
  <c r="BX48" i="5"/>
  <c r="CC7" i="4"/>
  <c r="D8" i="4"/>
  <c r="E8" i="4"/>
  <c r="G8" i="4"/>
  <c r="H8" i="4"/>
  <c r="J8" i="4"/>
  <c r="K8" i="4"/>
  <c r="P8" i="4"/>
  <c r="Q8" i="4"/>
  <c r="S8" i="4"/>
  <c r="T8" i="4"/>
  <c r="V8" i="4"/>
  <c r="W8" i="4"/>
  <c r="Y8" i="4"/>
  <c r="Z8" i="4"/>
  <c r="AB8" i="4"/>
  <c r="AC8" i="4"/>
  <c r="AG8" i="4"/>
  <c r="AH8" i="4"/>
  <c r="AI8" i="4"/>
  <c r="AI8" i="5"/>
  <c r="AI9" i="5"/>
  <c r="AI10" i="5"/>
  <c r="AI11" i="5"/>
  <c r="AI13" i="5"/>
  <c r="AI18" i="5"/>
  <c r="AI20" i="5"/>
  <c r="AI25" i="5"/>
  <c r="AI32" i="5"/>
  <c r="AI48" i="5"/>
  <c r="AJ8" i="4"/>
  <c r="AJ8" i="5"/>
  <c r="AM8" i="4"/>
  <c r="AM8" i="5"/>
  <c r="AR8" i="4"/>
  <c r="AY8" i="4"/>
  <c r="AZ8" i="4"/>
  <c r="BC8" i="4"/>
  <c r="BD8" i="4"/>
  <c r="BF8" i="4"/>
  <c r="BG8" i="4"/>
  <c r="BL8" i="4"/>
  <c r="BP8" i="4"/>
  <c r="BR8" i="4"/>
  <c r="D9" i="4"/>
  <c r="E9" i="4"/>
  <c r="G9" i="4"/>
  <c r="H9" i="4"/>
  <c r="J9" i="4"/>
  <c r="K9" i="4"/>
  <c r="P9" i="4"/>
  <c r="Q9" i="4"/>
  <c r="S9" i="4"/>
  <c r="T9" i="4"/>
  <c r="V9" i="4"/>
  <c r="Y9" i="4"/>
  <c r="Z9" i="4"/>
  <c r="AB9" i="4"/>
  <c r="AC9" i="4"/>
  <c r="AG9" i="4"/>
  <c r="AH9" i="4"/>
  <c r="AI9" i="4"/>
  <c r="AJ9" i="4"/>
  <c r="AJ9" i="5"/>
  <c r="AM9" i="4"/>
  <c r="AM9" i="5"/>
  <c r="AY9" i="4"/>
  <c r="AZ9" i="4"/>
  <c r="BC9" i="4"/>
  <c r="BD9" i="4"/>
  <c r="BF9" i="4"/>
  <c r="BG9" i="4"/>
  <c r="BL9" i="4"/>
  <c r="BP9" i="4"/>
  <c r="BR9" i="4"/>
  <c r="CG9" i="4"/>
  <c r="CH9" i="4"/>
  <c r="D10" i="4"/>
  <c r="E10" i="4"/>
  <c r="G10" i="4"/>
  <c r="H10" i="4"/>
  <c r="J10" i="4"/>
  <c r="K10" i="4"/>
  <c r="P10" i="4"/>
  <c r="Q10" i="4"/>
  <c r="S10" i="4"/>
  <c r="T10" i="4"/>
  <c r="V10" i="4"/>
  <c r="W10" i="4"/>
  <c r="X10" i="4"/>
  <c r="X10" i="5"/>
  <c r="AA10" i="4"/>
  <c r="AD10" i="4"/>
  <c r="AD10" i="5"/>
  <c r="AF10" i="4"/>
  <c r="AY10" i="4"/>
  <c r="AZ10" i="4"/>
  <c r="AI10" i="4"/>
  <c r="AJ10" i="4"/>
  <c r="AJ10" i="5"/>
  <c r="AM10" i="4"/>
  <c r="AM10" i="5"/>
  <c r="AR10" i="4"/>
  <c r="BC10" i="4"/>
  <c r="BD10" i="4"/>
  <c r="BF10" i="4"/>
  <c r="BG10" i="4"/>
  <c r="BL10" i="4"/>
  <c r="BP10" i="4"/>
  <c r="BR10" i="4"/>
  <c r="CG10" i="4"/>
  <c r="CH10" i="4"/>
  <c r="AI11" i="4"/>
  <c r="AJ11" i="4"/>
  <c r="AJ11" i="5"/>
  <c r="AM11" i="4"/>
  <c r="AM11" i="5"/>
  <c r="AR11" i="4"/>
  <c r="AR11" i="5"/>
  <c r="AT11" i="5"/>
  <c r="AU11" i="5"/>
  <c r="BC11" i="4"/>
  <c r="BL11" i="4"/>
  <c r="BP11" i="4"/>
  <c r="BR11" i="4"/>
  <c r="BZ11" i="4"/>
  <c r="CG11" i="4"/>
  <c r="CH11" i="4"/>
  <c r="AM12" i="4"/>
  <c r="AM12" i="5"/>
  <c r="AR12" i="4"/>
  <c r="BC12" i="4"/>
  <c r="BL12" i="4"/>
  <c r="BU12" i="5"/>
  <c r="BP12" i="4"/>
  <c r="BR12" i="4"/>
  <c r="BZ12" i="4"/>
  <c r="CG12" i="4"/>
  <c r="CH12" i="4"/>
  <c r="B13" i="4"/>
  <c r="B13" i="5"/>
  <c r="C13" i="4"/>
  <c r="C13" i="5"/>
  <c r="F13" i="4"/>
  <c r="I13" i="4"/>
  <c r="P13" i="4"/>
  <c r="Q13" i="4"/>
  <c r="S13" i="4"/>
  <c r="T13" i="4"/>
  <c r="V13" i="4"/>
  <c r="W13" i="4"/>
  <c r="Y13" i="4"/>
  <c r="Z13" i="4"/>
  <c r="AB13" i="4"/>
  <c r="AC13" i="4"/>
  <c r="AG13" i="4"/>
  <c r="AH13" i="4"/>
  <c r="AI13" i="4"/>
  <c r="AJ13" i="4"/>
  <c r="AJ13" i="5"/>
  <c r="AM13" i="4"/>
  <c r="AM13" i="5"/>
  <c r="AM15" i="4"/>
  <c r="AM15" i="5"/>
  <c r="AM16" i="4"/>
  <c r="AM16" i="5"/>
  <c r="AM18" i="4"/>
  <c r="AM18" i="5"/>
  <c r="AM20" i="4"/>
  <c r="AM20" i="5"/>
  <c r="AM21" i="4"/>
  <c r="AM21" i="5"/>
  <c r="AM22" i="4"/>
  <c r="AM22" i="5"/>
  <c r="AM23" i="4"/>
  <c r="AM23" i="5"/>
  <c r="AM24" i="4"/>
  <c r="AM24" i="5"/>
  <c r="AM25" i="4"/>
  <c r="AM25" i="5"/>
  <c r="AM26" i="4"/>
  <c r="AM26" i="5"/>
  <c r="AM27" i="4"/>
  <c r="AM27" i="5"/>
  <c r="AM28" i="4"/>
  <c r="AM28" i="5"/>
  <c r="AM29" i="4"/>
  <c r="AM29" i="5"/>
  <c r="AM30" i="4"/>
  <c r="AM30" i="5"/>
  <c r="AM31" i="4"/>
  <c r="AM31" i="5"/>
  <c r="AM32" i="4"/>
  <c r="AM32" i="5"/>
  <c r="AM34" i="4"/>
  <c r="AM34" i="5"/>
  <c r="AM35" i="4"/>
  <c r="AM35" i="5"/>
  <c r="AM36" i="4"/>
  <c r="AM36" i="5"/>
  <c r="AM39" i="5"/>
  <c r="AM48" i="5"/>
  <c r="AR13" i="5"/>
  <c r="AT13" i="5"/>
  <c r="AU13" i="5"/>
  <c r="AY13" i="4"/>
  <c r="AZ13" i="4"/>
  <c r="BA13" i="4"/>
  <c r="BB13" i="4"/>
  <c r="BL13" i="5"/>
  <c r="BF13" i="4"/>
  <c r="BG13" i="4"/>
  <c r="BL13" i="4"/>
  <c r="BU13" i="5"/>
  <c r="BP13" i="4"/>
  <c r="BR13" i="4"/>
  <c r="D14" i="4"/>
  <c r="G14" i="4"/>
  <c r="H14" i="4"/>
  <c r="J14" i="4"/>
  <c r="K14" i="4"/>
  <c r="P14" i="4"/>
  <c r="Q14" i="4"/>
  <c r="S14" i="4"/>
  <c r="T14" i="4"/>
  <c r="V14" i="4"/>
  <c r="W14" i="4"/>
  <c r="Y14" i="4"/>
  <c r="Z14" i="4"/>
  <c r="AB14" i="4"/>
  <c r="AG14" i="4"/>
  <c r="AH14" i="4"/>
  <c r="AR14" i="4"/>
  <c r="AY14" i="4"/>
  <c r="AZ14" i="4"/>
  <c r="BC14" i="4"/>
  <c r="BF14" i="4"/>
  <c r="BG14" i="4"/>
  <c r="BL14" i="4"/>
  <c r="BU14" i="5"/>
  <c r="BP14" i="4"/>
  <c r="BR14" i="4"/>
  <c r="BW14" i="4"/>
  <c r="BZ14" i="4"/>
  <c r="B15" i="4"/>
  <c r="B15" i="5"/>
  <c r="G15" i="4"/>
  <c r="H15" i="4"/>
  <c r="I15" i="4"/>
  <c r="I15" i="5"/>
  <c r="P15" i="4"/>
  <c r="Q15" i="4"/>
  <c r="S15" i="4"/>
  <c r="T15" i="4"/>
  <c r="V15" i="4"/>
  <c r="W15" i="4"/>
  <c r="Y15" i="4"/>
  <c r="Z15" i="4"/>
  <c r="AB15" i="4"/>
  <c r="AC15" i="4"/>
  <c r="AG15" i="4"/>
  <c r="AH15" i="4"/>
  <c r="AR15" i="5"/>
  <c r="AT15" i="5"/>
  <c r="AU15" i="5"/>
  <c r="AY15" i="4"/>
  <c r="AZ15" i="4"/>
  <c r="BC15" i="4"/>
  <c r="BD15" i="4"/>
  <c r="BF15" i="4"/>
  <c r="BG15" i="4"/>
  <c r="BL15" i="4"/>
  <c r="BU15" i="5"/>
  <c r="BP15" i="4"/>
  <c r="BR15" i="4"/>
  <c r="M16" i="4"/>
  <c r="N16" i="4"/>
  <c r="P16" i="4"/>
  <c r="Q16" i="4"/>
  <c r="S16" i="4"/>
  <c r="T16" i="4"/>
  <c r="V16" i="4"/>
  <c r="W16" i="4"/>
  <c r="Y16" i="4"/>
  <c r="Z16" i="4"/>
  <c r="AB16" i="4"/>
  <c r="AC16" i="4"/>
  <c r="AG16" i="4"/>
  <c r="AH16" i="4"/>
  <c r="AR16" i="4"/>
  <c r="AY16" i="4"/>
  <c r="AZ16" i="4"/>
  <c r="BC16" i="4"/>
  <c r="BD16" i="4"/>
  <c r="BF16" i="4"/>
  <c r="BG16" i="4"/>
  <c r="BL16" i="4"/>
  <c r="BU16" i="5"/>
  <c r="BP16" i="4"/>
  <c r="BR16" i="4"/>
  <c r="CG16" i="4"/>
  <c r="CH16" i="4"/>
  <c r="B17" i="4"/>
  <c r="B17" i="5"/>
  <c r="C17" i="4"/>
  <c r="C17" i="5"/>
  <c r="AR17" i="4"/>
  <c r="AS17" i="4"/>
  <c r="AT17" i="4"/>
  <c r="AU17" i="4"/>
  <c r="AY17" i="4"/>
  <c r="AZ17" i="4"/>
  <c r="BC17" i="4"/>
  <c r="BF17" i="4"/>
  <c r="BG17" i="4"/>
  <c r="BL17" i="4"/>
  <c r="BU17" i="5"/>
  <c r="BP17" i="4"/>
  <c r="BR17" i="4"/>
  <c r="BZ17" i="4"/>
  <c r="CG17" i="4"/>
  <c r="CH17" i="4"/>
  <c r="F18" i="4"/>
  <c r="I18" i="4"/>
  <c r="L18" i="4"/>
  <c r="N18" i="4"/>
  <c r="L18" i="5"/>
  <c r="O18" i="4"/>
  <c r="O18" i="5"/>
  <c r="R18" i="4"/>
  <c r="R48" i="4"/>
  <c r="U18" i="4"/>
  <c r="AB18" i="4"/>
  <c r="AC18" i="4"/>
  <c r="AG18" i="4"/>
  <c r="AH18" i="4"/>
  <c r="AI18" i="4"/>
  <c r="AJ18" i="4"/>
  <c r="AJ18" i="5"/>
  <c r="AR18" i="4"/>
  <c r="AY18" i="4"/>
  <c r="AZ18" i="4"/>
  <c r="BA18" i="4"/>
  <c r="BB18" i="4"/>
  <c r="BL18" i="5"/>
  <c r="BF18" i="4"/>
  <c r="BG18" i="4"/>
  <c r="BL18" i="4"/>
  <c r="BU18" i="5"/>
  <c r="BP18" i="4"/>
  <c r="BR18" i="4"/>
  <c r="D19" i="4"/>
  <c r="E19" i="4"/>
  <c r="AG19" i="4"/>
  <c r="AH19" i="4"/>
  <c r="AR19" i="4"/>
  <c r="AY19" i="4"/>
  <c r="AZ19" i="4"/>
  <c r="BC19" i="4"/>
  <c r="BF19" i="4"/>
  <c r="BG19" i="4"/>
  <c r="BL19" i="4"/>
  <c r="BU19" i="5"/>
  <c r="BV19" i="5"/>
  <c r="BP19" i="4"/>
  <c r="BR19" i="4"/>
  <c r="BZ19" i="4"/>
  <c r="CG19" i="4"/>
  <c r="CH19" i="4"/>
  <c r="Y20" i="4"/>
  <c r="AB20" i="4"/>
  <c r="AC20" i="4"/>
  <c r="AG20" i="4"/>
  <c r="AH20" i="4"/>
  <c r="AI20" i="4"/>
  <c r="AJ20" i="4"/>
  <c r="AJ20" i="5"/>
  <c r="AR20" i="4"/>
  <c r="AR20" i="5"/>
  <c r="AT20" i="5"/>
  <c r="AU20" i="5"/>
  <c r="AY20" i="4"/>
  <c r="AZ20" i="4"/>
  <c r="BC20" i="4"/>
  <c r="BD20" i="4"/>
  <c r="BF20" i="4"/>
  <c r="BG20" i="4"/>
  <c r="BL20" i="4"/>
  <c r="BU20" i="5"/>
  <c r="BP20" i="4"/>
  <c r="BR20" i="4"/>
  <c r="CG20" i="4"/>
  <c r="CH20" i="4"/>
  <c r="C21" i="4"/>
  <c r="F21" i="4"/>
  <c r="I21" i="4"/>
  <c r="I21" i="5"/>
  <c r="P21" i="4"/>
  <c r="Q21" i="4"/>
  <c r="S21" i="4"/>
  <c r="T21" i="4"/>
  <c r="V21" i="4"/>
  <c r="W21" i="4"/>
  <c r="Y21" i="4"/>
  <c r="Z21" i="4"/>
  <c r="AB21" i="4"/>
  <c r="AC21" i="4"/>
  <c r="AG21" i="4"/>
  <c r="AH21" i="4"/>
  <c r="AR21" i="4"/>
  <c r="AR21" i="5"/>
  <c r="AX21" i="4"/>
  <c r="BO21" i="5"/>
  <c r="BC21" i="4"/>
  <c r="BD21" i="4"/>
  <c r="BL21" i="4"/>
  <c r="BU21" i="5"/>
  <c r="BN21" i="4"/>
  <c r="BO21" i="4"/>
  <c r="BP21" i="4"/>
  <c r="BR21" i="4"/>
  <c r="CG21" i="4"/>
  <c r="CH21" i="4"/>
  <c r="AB22" i="4"/>
  <c r="AG22" i="4"/>
  <c r="AH22" i="4"/>
  <c r="AR22" i="4"/>
  <c r="AY22" i="4"/>
  <c r="AZ22" i="4"/>
  <c r="BC22" i="4"/>
  <c r="BF22" i="4"/>
  <c r="BG22" i="4"/>
  <c r="BL22" i="4"/>
  <c r="BP22" i="4"/>
  <c r="BR22" i="4"/>
  <c r="BZ22" i="4"/>
  <c r="CG22" i="4"/>
  <c r="CH22" i="4"/>
  <c r="B23" i="4"/>
  <c r="G23" i="4"/>
  <c r="H23" i="4"/>
  <c r="J23" i="4"/>
  <c r="K23" i="4"/>
  <c r="P23" i="4"/>
  <c r="Q23" i="4"/>
  <c r="S23" i="4"/>
  <c r="T23" i="4"/>
  <c r="V23" i="4"/>
  <c r="W23" i="4"/>
  <c r="Y23" i="4"/>
  <c r="Z23" i="4"/>
  <c r="AB23" i="4"/>
  <c r="AC23" i="4"/>
  <c r="AG23" i="4"/>
  <c r="AH23" i="4"/>
  <c r="AR23" i="4"/>
  <c r="AR23" i="5"/>
  <c r="AT23" i="5"/>
  <c r="AU23" i="5"/>
  <c r="AY23" i="4"/>
  <c r="AZ23" i="4"/>
  <c r="BA23" i="4"/>
  <c r="BB23" i="4"/>
  <c r="BL23" i="5"/>
  <c r="BF23" i="4"/>
  <c r="BG23" i="4"/>
  <c r="BL23" i="4"/>
  <c r="BP23" i="4"/>
  <c r="BR23" i="4"/>
  <c r="B24" i="4"/>
  <c r="B24" i="5"/>
  <c r="C24" i="4"/>
  <c r="F24" i="4"/>
  <c r="F24" i="5"/>
  <c r="P24" i="4"/>
  <c r="Q24" i="4"/>
  <c r="S24" i="4"/>
  <c r="T24" i="4"/>
  <c r="V24" i="4"/>
  <c r="W24" i="4"/>
  <c r="Y24" i="4"/>
  <c r="Z24" i="4"/>
  <c r="AB24" i="4"/>
  <c r="AC24" i="4"/>
  <c r="AG24" i="4"/>
  <c r="AH24" i="4"/>
  <c r="AR24" i="4"/>
  <c r="AR24" i="5"/>
  <c r="AX24" i="4"/>
  <c r="BO24" i="5"/>
  <c r="BA24" i="4"/>
  <c r="BB24" i="4"/>
  <c r="BF24" i="4"/>
  <c r="BG24" i="4"/>
  <c r="BL24" i="4"/>
  <c r="BP24" i="4"/>
  <c r="BR24" i="4"/>
  <c r="BY24" i="5"/>
  <c r="B25" i="4"/>
  <c r="B25" i="5"/>
  <c r="C25" i="4"/>
  <c r="F25" i="4"/>
  <c r="I25" i="4"/>
  <c r="P25" i="4"/>
  <c r="Q25" i="4"/>
  <c r="S25" i="4"/>
  <c r="T25" i="4"/>
  <c r="V25" i="4"/>
  <c r="W25" i="4"/>
  <c r="Y25" i="4"/>
  <c r="Z25" i="4"/>
  <c r="AB25" i="4"/>
  <c r="AC25" i="4"/>
  <c r="AG25" i="4"/>
  <c r="AH25" i="4"/>
  <c r="AI25" i="4"/>
  <c r="AJ25" i="4"/>
  <c r="AJ25" i="5"/>
  <c r="AR25" i="4"/>
  <c r="AX25" i="4"/>
  <c r="BC25" i="4"/>
  <c r="BE25" i="4"/>
  <c r="BN25" i="4"/>
  <c r="BO25" i="4"/>
  <c r="BP25" i="4"/>
  <c r="BR25" i="4"/>
  <c r="CC25" i="4"/>
  <c r="D26" i="4"/>
  <c r="E26" i="4"/>
  <c r="G26" i="4"/>
  <c r="H26" i="4"/>
  <c r="J26" i="4"/>
  <c r="K26" i="4"/>
  <c r="P26" i="4"/>
  <c r="Q26" i="4"/>
  <c r="S26" i="4"/>
  <c r="T26" i="4"/>
  <c r="V26" i="4"/>
  <c r="W26" i="4"/>
  <c r="Y26" i="4"/>
  <c r="Z26" i="4"/>
  <c r="AB26" i="4"/>
  <c r="AC26" i="4"/>
  <c r="AG26" i="4"/>
  <c r="AH26" i="4"/>
  <c r="AR26" i="4"/>
  <c r="AY26" i="4"/>
  <c r="AZ26" i="4"/>
  <c r="BC26" i="4"/>
  <c r="BD26" i="4"/>
  <c r="BF26" i="4"/>
  <c r="BG26" i="4"/>
  <c r="BL26" i="4"/>
  <c r="BP26" i="4"/>
  <c r="BR26" i="4"/>
  <c r="B27" i="4"/>
  <c r="G27" i="4"/>
  <c r="H27" i="4"/>
  <c r="J27" i="4"/>
  <c r="K27" i="4"/>
  <c r="P27" i="4"/>
  <c r="Q27" i="4"/>
  <c r="S27" i="4"/>
  <c r="T27" i="4"/>
  <c r="V27" i="4"/>
  <c r="W27" i="4"/>
  <c r="Y27" i="4"/>
  <c r="Z27" i="4"/>
  <c r="AB27" i="4"/>
  <c r="AC27" i="4"/>
  <c r="AG27" i="4"/>
  <c r="AH27" i="4"/>
  <c r="AR27" i="4"/>
  <c r="AR27" i="5"/>
  <c r="AY27" i="4"/>
  <c r="AZ27" i="4"/>
  <c r="BC27" i="4"/>
  <c r="BD27" i="4"/>
  <c r="BF27" i="4"/>
  <c r="BG27" i="4"/>
  <c r="BL27" i="4"/>
  <c r="BU27" i="5"/>
  <c r="BP27" i="4"/>
  <c r="BR27" i="4"/>
  <c r="CA27" i="4"/>
  <c r="CB27" i="4"/>
  <c r="D28" i="4"/>
  <c r="E28" i="4"/>
  <c r="G28" i="4"/>
  <c r="H28" i="4"/>
  <c r="J28" i="4"/>
  <c r="K28" i="4"/>
  <c r="P28" i="4"/>
  <c r="Q28" i="4"/>
  <c r="S28" i="4"/>
  <c r="T28" i="4"/>
  <c r="V28" i="4"/>
  <c r="W28" i="4"/>
  <c r="Y28" i="4"/>
  <c r="Z28" i="4"/>
  <c r="AB28" i="4"/>
  <c r="AC28" i="4"/>
  <c r="AG28" i="4"/>
  <c r="AH28" i="4"/>
  <c r="AR28" i="4"/>
  <c r="AR28" i="5"/>
  <c r="AT28" i="5"/>
  <c r="AU28" i="5"/>
  <c r="AY28" i="4"/>
  <c r="AZ28" i="4"/>
  <c r="BA28" i="4"/>
  <c r="BB28" i="4"/>
  <c r="BL28" i="5"/>
  <c r="BF28" i="4"/>
  <c r="BG28" i="4"/>
  <c r="BL28" i="4"/>
  <c r="BU28" i="5"/>
  <c r="BP28" i="4"/>
  <c r="BR28" i="4"/>
  <c r="CG28" i="4"/>
  <c r="CH28" i="4"/>
  <c r="D29" i="4"/>
  <c r="E29" i="4"/>
  <c r="G29" i="4"/>
  <c r="H29" i="4"/>
  <c r="J29" i="4"/>
  <c r="K29" i="4"/>
  <c r="P29" i="4"/>
  <c r="Q29" i="4"/>
  <c r="S29" i="4"/>
  <c r="T29" i="4"/>
  <c r="V29" i="4"/>
  <c r="W29" i="4"/>
  <c r="Y29" i="4"/>
  <c r="Z29" i="4"/>
  <c r="AB29" i="4"/>
  <c r="AC29" i="4"/>
  <c r="AG29" i="4"/>
  <c r="AH29" i="4"/>
  <c r="AR29" i="4"/>
  <c r="AR29" i="5"/>
  <c r="AY29" i="4"/>
  <c r="AZ29" i="4"/>
  <c r="BC29" i="4"/>
  <c r="BD29" i="4"/>
  <c r="BF29" i="4"/>
  <c r="BG29" i="4"/>
  <c r="BL29" i="4"/>
  <c r="BU29" i="5"/>
  <c r="BP29" i="4"/>
  <c r="BR29" i="4"/>
  <c r="D30" i="4"/>
  <c r="E30" i="4"/>
  <c r="G30" i="4"/>
  <c r="H30" i="4"/>
  <c r="J30" i="4"/>
  <c r="K30" i="4"/>
  <c r="P30" i="4"/>
  <c r="Q30" i="4"/>
  <c r="S30" i="4"/>
  <c r="T30" i="4"/>
  <c r="V30" i="4"/>
  <c r="W30" i="4"/>
  <c r="Y30" i="4"/>
  <c r="Z30" i="4"/>
  <c r="AB30" i="4"/>
  <c r="AC30" i="4"/>
  <c r="AG30" i="4"/>
  <c r="AH30" i="4"/>
  <c r="AR30" i="4"/>
  <c r="AY30" i="4"/>
  <c r="AZ30" i="4"/>
  <c r="BC30" i="4"/>
  <c r="BD30" i="4"/>
  <c r="BF30" i="4"/>
  <c r="BG30" i="4"/>
  <c r="BL30" i="4"/>
  <c r="BP30" i="4"/>
  <c r="BR30" i="4"/>
  <c r="D31" i="4"/>
  <c r="E31" i="4"/>
  <c r="G31" i="4"/>
  <c r="H31" i="4"/>
  <c r="J31" i="4"/>
  <c r="K31" i="4"/>
  <c r="P31" i="4"/>
  <c r="Q31" i="4"/>
  <c r="S31" i="4"/>
  <c r="T31" i="4"/>
  <c r="V31" i="4"/>
  <c r="W31" i="4"/>
  <c r="Y31" i="4"/>
  <c r="Z31" i="4"/>
  <c r="AB31" i="4"/>
  <c r="AC31" i="4"/>
  <c r="AG31" i="4"/>
  <c r="AH31" i="4"/>
  <c r="AR31" i="4"/>
  <c r="AR31" i="5"/>
  <c r="AY31" i="4"/>
  <c r="AZ31" i="4"/>
  <c r="BC31" i="4"/>
  <c r="BD31" i="4"/>
  <c r="BF31" i="4"/>
  <c r="BG31" i="4"/>
  <c r="BL31" i="4"/>
  <c r="BU31" i="5"/>
  <c r="BP31" i="4"/>
  <c r="BR31" i="4"/>
  <c r="CG31" i="4"/>
  <c r="CH31" i="4"/>
  <c r="B32" i="4"/>
  <c r="B32" i="5"/>
  <c r="C32" i="4"/>
  <c r="C32" i="5"/>
  <c r="F32" i="4"/>
  <c r="I32" i="4"/>
  <c r="P32" i="4"/>
  <c r="Q32" i="4"/>
  <c r="S32" i="4"/>
  <c r="T32" i="4"/>
  <c r="V32" i="4"/>
  <c r="W32" i="4"/>
  <c r="Y32" i="4"/>
  <c r="Z32" i="4"/>
  <c r="AB32" i="4"/>
  <c r="AC32" i="4"/>
  <c r="AG32" i="4"/>
  <c r="AH32" i="4"/>
  <c r="AI32" i="4"/>
  <c r="AJ32" i="4"/>
  <c r="AJ32" i="5"/>
  <c r="AR32" i="4"/>
  <c r="AR32" i="5"/>
  <c r="AY32" i="4"/>
  <c r="AZ32" i="4"/>
  <c r="BA32" i="4"/>
  <c r="BB32" i="4"/>
  <c r="BL32" i="5"/>
  <c r="BF32" i="4"/>
  <c r="BG32" i="4"/>
  <c r="BL32" i="4"/>
  <c r="BU32" i="5"/>
  <c r="BP32" i="4"/>
  <c r="BR32" i="4"/>
  <c r="B34" i="4"/>
  <c r="B34" i="5"/>
  <c r="C34" i="4"/>
  <c r="C34" i="5"/>
  <c r="G34" i="4"/>
  <c r="H34" i="4"/>
  <c r="J34" i="4"/>
  <c r="K34" i="4"/>
  <c r="P34" i="4"/>
  <c r="Q34" i="4"/>
  <c r="S34" i="4"/>
  <c r="T34" i="4"/>
  <c r="V34" i="4"/>
  <c r="W34" i="4"/>
  <c r="Y34" i="4"/>
  <c r="Z34" i="4"/>
  <c r="AB34" i="4"/>
  <c r="AC34" i="4"/>
  <c r="AG34" i="4"/>
  <c r="AH34" i="4"/>
  <c r="AR34" i="4"/>
  <c r="AR34" i="5"/>
  <c r="AT34" i="5"/>
  <c r="AU34" i="5"/>
  <c r="AY34" i="4"/>
  <c r="AZ34" i="4"/>
  <c r="BC34" i="4"/>
  <c r="BD34" i="4"/>
  <c r="BF34" i="4"/>
  <c r="BG34" i="4"/>
  <c r="BL34" i="4"/>
  <c r="BU34" i="5"/>
  <c r="BP34" i="4"/>
  <c r="BR34" i="4"/>
  <c r="CG34" i="4"/>
  <c r="CH34" i="4"/>
  <c r="B35" i="4"/>
  <c r="B35" i="5"/>
  <c r="C35" i="4"/>
  <c r="D35" i="4"/>
  <c r="F35" i="4"/>
  <c r="F35" i="5"/>
  <c r="I35" i="4"/>
  <c r="P35" i="4"/>
  <c r="Q35" i="4"/>
  <c r="S35" i="4"/>
  <c r="T35" i="4"/>
  <c r="V35" i="4"/>
  <c r="W35" i="4"/>
  <c r="Y35" i="4"/>
  <c r="Z35" i="4"/>
  <c r="AB35" i="4"/>
  <c r="AC35" i="4"/>
  <c r="AG35" i="4"/>
  <c r="AH35" i="4"/>
  <c r="AR35" i="4"/>
  <c r="AR35" i="5"/>
  <c r="AY35" i="4"/>
  <c r="AZ35" i="4"/>
  <c r="BA35" i="4"/>
  <c r="BB35" i="4"/>
  <c r="BL35" i="5"/>
  <c r="BF35" i="4"/>
  <c r="BG35" i="4"/>
  <c r="BL35" i="4"/>
  <c r="BU35" i="5"/>
  <c r="BN35" i="4"/>
  <c r="BO35" i="4"/>
  <c r="BX35" i="4"/>
  <c r="CA35" i="4"/>
  <c r="CB35" i="4"/>
  <c r="AG36" i="4"/>
  <c r="AH36" i="4"/>
  <c r="AR36" i="4"/>
  <c r="AY36" i="4"/>
  <c r="AZ36" i="4"/>
  <c r="BA36" i="4"/>
  <c r="BC36" i="4"/>
  <c r="BD36" i="4"/>
  <c r="BF36" i="4"/>
  <c r="BG36" i="4"/>
  <c r="BL36" i="4"/>
  <c r="BP36" i="4"/>
  <c r="BR36" i="4"/>
  <c r="CG36" i="4"/>
  <c r="CH36" i="4"/>
  <c r="AR37" i="4"/>
  <c r="AY37" i="4"/>
  <c r="AZ37" i="4"/>
  <c r="BA37" i="4"/>
  <c r="BB37" i="4"/>
  <c r="BF37" i="4"/>
  <c r="BG37" i="4"/>
  <c r="BL37" i="4"/>
  <c r="BU37" i="5"/>
  <c r="BP37" i="4"/>
  <c r="BR37" i="4"/>
  <c r="BZ37" i="4"/>
  <c r="AG38" i="4"/>
  <c r="AH38" i="4"/>
  <c r="AR38" i="4"/>
  <c r="AY38" i="4"/>
  <c r="AZ38" i="4"/>
  <c r="BC38" i="4"/>
  <c r="BD38" i="4"/>
  <c r="BF38" i="4"/>
  <c r="BG38" i="4"/>
  <c r="BL38" i="4"/>
  <c r="BU38" i="5"/>
  <c r="BP38" i="4"/>
  <c r="BR38" i="4"/>
  <c r="BZ38" i="4"/>
  <c r="CG38" i="4"/>
  <c r="CH38" i="4"/>
  <c r="Y39" i="4"/>
  <c r="AB39" i="4"/>
  <c r="AC39" i="4"/>
  <c r="AG39" i="4"/>
  <c r="AH39" i="4"/>
  <c r="AM39" i="4"/>
  <c r="AR39" i="4"/>
  <c r="AR39" i="5"/>
  <c r="AT39" i="5"/>
  <c r="AY39" i="4"/>
  <c r="AZ39" i="4"/>
  <c r="BC39" i="4"/>
  <c r="BF39" i="4"/>
  <c r="BG39" i="4"/>
  <c r="BL39" i="4"/>
  <c r="BP39" i="4"/>
  <c r="BR39" i="4"/>
  <c r="BZ39" i="4"/>
  <c r="BA40" i="4"/>
  <c r="BB40" i="4"/>
  <c r="BL40" i="5"/>
  <c r="BP40" i="4"/>
  <c r="BR40" i="4"/>
  <c r="BZ40" i="4"/>
  <c r="AS44" i="4"/>
  <c r="AT44" i="4"/>
  <c r="AU44" i="4"/>
  <c r="AY44" i="4"/>
  <c r="AZ44" i="4"/>
  <c r="BC44" i="4"/>
  <c r="BF44" i="4"/>
  <c r="BG44" i="4"/>
  <c r="BL44" i="4"/>
  <c r="BU44" i="5"/>
  <c r="BP44" i="4"/>
  <c r="BR44" i="4"/>
  <c r="L48" i="4"/>
  <c r="L48" i="5"/>
  <c r="X48" i="4"/>
  <c r="X48" i="5"/>
  <c r="AE48" i="4"/>
  <c r="AF48" i="4"/>
  <c r="AD11" i="2"/>
  <c r="AD5" i="3"/>
  <c r="AK48" i="4"/>
  <c r="AM48" i="4"/>
  <c r="AN48" i="4"/>
  <c r="AO48" i="4"/>
  <c r="AP48" i="4"/>
  <c r="AQ48" i="4"/>
  <c r="BE48" i="4"/>
  <c r="BR48" i="5"/>
  <c r="BH48" i="4"/>
  <c r="BK48" i="4"/>
  <c r="BS48" i="4"/>
  <c r="BV48" i="4"/>
  <c r="BX48" i="4"/>
  <c r="BP49" i="4"/>
  <c r="BR49" i="4"/>
  <c r="BW49" i="4"/>
  <c r="BP50" i="4"/>
  <c r="BR50" i="4"/>
  <c r="BW50" i="4"/>
  <c r="BP51" i="4"/>
  <c r="BR51" i="4"/>
  <c r="BW51" i="4"/>
  <c r="BP52" i="4"/>
  <c r="BR52" i="4"/>
  <c r="BW52" i="4"/>
  <c r="BP53" i="4"/>
  <c r="BR53" i="4"/>
  <c r="BW53" i="4"/>
  <c r="AI54" i="4"/>
  <c r="AI55" i="4"/>
  <c r="BP54" i="4"/>
  <c r="BR54" i="4"/>
  <c r="BW54" i="4"/>
  <c r="BP55" i="4"/>
  <c r="BR55" i="4"/>
  <c r="BW55" i="4"/>
  <c r="BP56" i="4"/>
  <c r="BR56" i="4"/>
  <c r="BW56" i="4"/>
  <c r="BP58" i="4"/>
  <c r="BR58" i="4"/>
  <c r="B59" i="4"/>
  <c r="B58" i="5"/>
  <c r="C59" i="4"/>
  <c r="F59" i="4"/>
  <c r="F58" i="5"/>
  <c r="I59" i="4"/>
  <c r="I58" i="5"/>
  <c r="P59" i="4"/>
  <c r="Q59" i="4"/>
  <c r="R59" i="4"/>
  <c r="U59" i="4"/>
  <c r="U58" i="5"/>
  <c r="X59" i="4"/>
  <c r="X58" i="5"/>
  <c r="AA59" i="4"/>
  <c r="AA58" i="5"/>
  <c r="AE59" i="4"/>
  <c r="AE58" i="5"/>
  <c r="AI59" i="4"/>
  <c r="AI58" i="5"/>
  <c r="AJ59" i="4"/>
  <c r="AM59" i="4"/>
  <c r="AM58" i="5"/>
  <c r="AR59" i="4"/>
  <c r="AR58" i="5"/>
  <c r="AY59" i="4"/>
  <c r="AZ59" i="4"/>
  <c r="BA59" i="4"/>
  <c r="BB59" i="4"/>
  <c r="BF59" i="4"/>
  <c r="BG59" i="4"/>
  <c r="BL59" i="4"/>
  <c r="BP59" i="4"/>
  <c r="BR59" i="4"/>
  <c r="BW59" i="4"/>
  <c r="BX58" i="5"/>
  <c r="D60" i="4"/>
  <c r="G60" i="4"/>
  <c r="J60" i="4"/>
  <c r="P60" i="4"/>
  <c r="Q60" i="4"/>
  <c r="S60" i="4"/>
  <c r="T60" i="4"/>
  <c r="V60" i="4"/>
  <c r="W60" i="4"/>
  <c r="Y60" i="4"/>
  <c r="Z60" i="4"/>
  <c r="AB60" i="4"/>
  <c r="AC60" i="4"/>
  <c r="AG60" i="4"/>
  <c r="AH60" i="4"/>
  <c r="AI60" i="4"/>
  <c r="AI59" i="5"/>
  <c r="AJ60" i="4"/>
  <c r="AJ59" i="5"/>
  <c r="AM60" i="4"/>
  <c r="AR60" i="4"/>
  <c r="AR59" i="5"/>
  <c r="AX60" i="4"/>
  <c r="BO59" i="5"/>
  <c r="BA60" i="4"/>
  <c r="BB60" i="4"/>
  <c r="BL60" i="4"/>
  <c r="BP60" i="4"/>
  <c r="BR60" i="4"/>
  <c r="BW60" i="4"/>
  <c r="BX59" i="5"/>
  <c r="D61" i="4"/>
  <c r="G61" i="4"/>
  <c r="J61" i="4"/>
  <c r="P61" i="4"/>
  <c r="Q61" i="4"/>
  <c r="S61" i="4"/>
  <c r="T61" i="4"/>
  <c r="V61" i="4"/>
  <c r="W61" i="4"/>
  <c r="Y61" i="4"/>
  <c r="Z61" i="4"/>
  <c r="AB61" i="4"/>
  <c r="AC61" i="4"/>
  <c r="AG61" i="4"/>
  <c r="AH61" i="4"/>
  <c r="AI61" i="4"/>
  <c r="AI60" i="5"/>
  <c r="AJ61" i="4"/>
  <c r="AJ60" i="5"/>
  <c r="AM61" i="4"/>
  <c r="AM60" i="5"/>
  <c r="AR61" i="4"/>
  <c r="AR60" i="5"/>
  <c r="AX61" i="4"/>
  <c r="BO60" i="5"/>
  <c r="BC61" i="4"/>
  <c r="BD61" i="4"/>
  <c r="BF61" i="4"/>
  <c r="BG61" i="4"/>
  <c r="BL61" i="4"/>
  <c r="BU60" i="5"/>
  <c r="BP61" i="4"/>
  <c r="BR61" i="4"/>
  <c r="BW61" i="4"/>
  <c r="BX60" i="5"/>
  <c r="CG61" i="4"/>
  <c r="CH61" i="4"/>
  <c r="D62" i="4"/>
  <c r="G62" i="4"/>
  <c r="J62" i="4"/>
  <c r="P62" i="4"/>
  <c r="Q62" i="4"/>
  <c r="S62" i="4"/>
  <c r="T62" i="4"/>
  <c r="V62" i="4"/>
  <c r="W62" i="4"/>
  <c r="Y62" i="4"/>
  <c r="Z62" i="4"/>
  <c r="AB62" i="4"/>
  <c r="AC62" i="4"/>
  <c r="AG62" i="4"/>
  <c r="AH62" i="4"/>
  <c r="AI62" i="4"/>
  <c r="AJ62" i="4"/>
  <c r="AJ61" i="5"/>
  <c r="AM62" i="4"/>
  <c r="AM61" i="5"/>
  <c r="AR62" i="4"/>
  <c r="AR61" i="5"/>
  <c r="AX62" i="4"/>
  <c r="BO61" i="5"/>
  <c r="BA62" i="4"/>
  <c r="BB62" i="4"/>
  <c r="BF62" i="4"/>
  <c r="BG62" i="4"/>
  <c r="BL62" i="4"/>
  <c r="BU61" i="5"/>
  <c r="BP62" i="4"/>
  <c r="BR62" i="4"/>
  <c r="BW62" i="4"/>
  <c r="BX61" i="5"/>
  <c r="CG62" i="4"/>
  <c r="CH62" i="4"/>
  <c r="D63" i="4"/>
  <c r="E63" i="4"/>
  <c r="G63" i="4"/>
  <c r="H63" i="4"/>
  <c r="J63" i="4"/>
  <c r="K63" i="4"/>
  <c r="P63" i="4"/>
  <c r="Q63" i="4"/>
  <c r="S63" i="4"/>
  <c r="T63" i="4"/>
  <c r="V63" i="4"/>
  <c r="W63" i="4"/>
  <c r="Y63" i="4"/>
  <c r="Z63" i="4"/>
  <c r="AB63" i="4"/>
  <c r="AC63" i="4"/>
  <c r="AG63" i="4"/>
  <c r="AH63" i="4"/>
  <c r="AI63" i="4"/>
  <c r="AI62" i="5"/>
  <c r="AJ63" i="4"/>
  <c r="AJ62" i="5"/>
  <c r="AM63" i="4"/>
  <c r="AM62" i="5"/>
  <c r="AR63" i="4"/>
  <c r="AR62" i="5"/>
  <c r="AY63" i="4"/>
  <c r="AZ63" i="4"/>
  <c r="BC63" i="4"/>
  <c r="BD63" i="4"/>
  <c r="BF63" i="4"/>
  <c r="BG63" i="4"/>
  <c r="BL63" i="4"/>
  <c r="BP63" i="4"/>
  <c r="BR63" i="4"/>
  <c r="BW63" i="4"/>
  <c r="BX62" i="5"/>
  <c r="CG63" i="4"/>
  <c r="CH63" i="4"/>
  <c r="B64" i="4"/>
  <c r="C64" i="4"/>
  <c r="C63" i="5"/>
  <c r="F64" i="4"/>
  <c r="I64" i="4"/>
  <c r="P64" i="4"/>
  <c r="Q64" i="4"/>
  <c r="S64" i="4"/>
  <c r="T64" i="4"/>
  <c r="U64" i="4"/>
  <c r="U63" i="5"/>
  <c r="X64" i="4"/>
  <c r="AA64" i="4"/>
  <c r="AA63" i="5"/>
  <c r="AI64" i="4"/>
  <c r="AI63" i="5"/>
  <c r="AJ64" i="4"/>
  <c r="AJ63" i="5"/>
  <c r="AM64" i="4"/>
  <c r="AM63" i="5"/>
  <c r="AR64" i="4"/>
  <c r="AR63" i="5"/>
  <c r="AT63" i="5"/>
  <c r="AU63" i="5"/>
  <c r="AX64" i="4"/>
  <c r="BO63" i="5"/>
  <c r="BA64" i="4"/>
  <c r="BB64" i="4"/>
  <c r="BL64" i="4"/>
  <c r="BP64" i="4"/>
  <c r="BR64" i="4"/>
  <c r="BW64" i="4"/>
  <c r="BX63" i="5"/>
  <c r="J65" i="4"/>
  <c r="S65" i="4"/>
  <c r="V65" i="4"/>
  <c r="W65" i="4"/>
  <c r="Y65" i="4"/>
  <c r="Z65" i="4"/>
  <c r="AB65" i="4"/>
  <c r="AC65" i="4"/>
  <c r="AG65" i="4"/>
  <c r="AH65" i="4"/>
  <c r="AI65" i="4"/>
  <c r="AI64" i="5"/>
  <c r="AJ65" i="4"/>
  <c r="AJ64" i="5"/>
  <c r="AM65" i="4"/>
  <c r="AM64" i="5"/>
  <c r="AR65" i="4"/>
  <c r="AY65" i="4"/>
  <c r="AZ65" i="4"/>
  <c r="BC65" i="4"/>
  <c r="BD65" i="4"/>
  <c r="BE65" i="4"/>
  <c r="BR64" i="5"/>
  <c r="BZ64" i="5"/>
  <c r="CA64" i="5"/>
  <c r="BL65" i="4"/>
  <c r="BW65" i="4"/>
  <c r="BX64" i="5"/>
  <c r="BX65" i="4"/>
  <c r="CG65" i="4"/>
  <c r="CH65" i="4"/>
  <c r="B66" i="4"/>
  <c r="B65" i="5"/>
  <c r="C66" i="4"/>
  <c r="C65" i="5"/>
  <c r="F66" i="4"/>
  <c r="I66" i="4"/>
  <c r="P66" i="4"/>
  <c r="Q66" i="4"/>
  <c r="S66" i="4"/>
  <c r="T66" i="4"/>
  <c r="V66" i="4"/>
  <c r="W66" i="4"/>
  <c r="Y66" i="4"/>
  <c r="Z66" i="4"/>
  <c r="AB66" i="4"/>
  <c r="AC66" i="4"/>
  <c r="AG66" i="4"/>
  <c r="AH66" i="4"/>
  <c r="AI66" i="4"/>
  <c r="AI65" i="5"/>
  <c r="AJ66" i="4"/>
  <c r="AJ65" i="5"/>
  <c r="AM66" i="4"/>
  <c r="AM65" i="5"/>
  <c r="AR66" i="4"/>
  <c r="AR65" i="5"/>
  <c r="AY66" i="4"/>
  <c r="AZ66" i="4"/>
  <c r="BA66" i="4"/>
  <c r="BB66" i="4"/>
  <c r="BF66" i="4"/>
  <c r="BG66" i="4"/>
  <c r="BL66" i="4"/>
  <c r="BP66" i="4"/>
  <c r="BR66" i="4"/>
  <c r="BW66" i="4"/>
  <c r="BX65" i="5"/>
  <c r="BY66" i="4"/>
  <c r="D67" i="4"/>
  <c r="E67" i="4"/>
  <c r="G67" i="4"/>
  <c r="H67" i="4"/>
  <c r="J67" i="4"/>
  <c r="K67" i="4"/>
  <c r="P67" i="4"/>
  <c r="Q67" i="4"/>
  <c r="S67" i="4"/>
  <c r="V67" i="4"/>
  <c r="AG67" i="4"/>
  <c r="AH67" i="4"/>
  <c r="AR67" i="4"/>
  <c r="AY67" i="4"/>
  <c r="AZ67" i="4"/>
  <c r="BC67" i="4"/>
  <c r="BF67" i="4"/>
  <c r="BG67" i="4"/>
  <c r="BL67" i="4"/>
  <c r="BU66" i="5"/>
  <c r="BP67" i="4"/>
  <c r="BR67" i="4"/>
  <c r="BW67" i="4"/>
  <c r="BX66" i="5"/>
  <c r="BZ67" i="4"/>
  <c r="D68" i="4"/>
  <c r="E68" i="4"/>
  <c r="G68" i="4"/>
  <c r="H68" i="4"/>
  <c r="J68" i="4"/>
  <c r="K68" i="4"/>
  <c r="P68" i="4"/>
  <c r="Q68" i="4"/>
  <c r="S68" i="4"/>
  <c r="T68" i="4"/>
  <c r="V68" i="4"/>
  <c r="W68" i="4"/>
  <c r="Y68" i="4"/>
  <c r="Z68" i="4"/>
  <c r="AB68" i="4"/>
  <c r="AC68" i="4"/>
  <c r="AG68" i="4"/>
  <c r="AH68" i="4"/>
  <c r="AI68" i="4"/>
  <c r="AI67" i="5"/>
  <c r="AJ68" i="4"/>
  <c r="AJ67" i="5"/>
  <c r="AM68" i="4"/>
  <c r="AM67" i="5"/>
  <c r="AR68" i="4"/>
  <c r="AR67" i="5"/>
  <c r="AY68" i="4"/>
  <c r="AZ68" i="4"/>
  <c r="BC68" i="4"/>
  <c r="BD68" i="4"/>
  <c r="BF68" i="4"/>
  <c r="BG68" i="4"/>
  <c r="BL68" i="4"/>
  <c r="BU67" i="5"/>
  <c r="BP68" i="4"/>
  <c r="BR68" i="4"/>
  <c r="BW68" i="4"/>
  <c r="BX67" i="5"/>
  <c r="B69" i="4"/>
  <c r="B68" i="5"/>
  <c r="C69" i="4"/>
  <c r="F69" i="4"/>
  <c r="F68" i="5"/>
  <c r="I69" i="4"/>
  <c r="I68" i="5"/>
  <c r="P69" i="4"/>
  <c r="Q69" i="4"/>
  <c r="S69" i="4"/>
  <c r="T69" i="4"/>
  <c r="V69" i="4"/>
  <c r="W69" i="4"/>
  <c r="Y69" i="4"/>
  <c r="Z69" i="4"/>
  <c r="AB69" i="4"/>
  <c r="AC69" i="4"/>
  <c r="AG69" i="4"/>
  <c r="AH69" i="4"/>
  <c r="AI69" i="4"/>
  <c r="AI68" i="5"/>
  <c r="AJ69" i="4"/>
  <c r="AJ68" i="5"/>
  <c r="AM69" i="4"/>
  <c r="AM68" i="5"/>
  <c r="AR69" i="4"/>
  <c r="AR68" i="5"/>
  <c r="AX69" i="4"/>
  <c r="BF69" i="4"/>
  <c r="BG69" i="4"/>
  <c r="BA69" i="4"/>
  <c r="BB69" i="4"/>
  <c r="BL69" i="4"/>
  <c r="BU68" i="5"/>
  <c r="BP69" i="4"/>
  <c r="BR69" i="4"/>
  <c r="BW69" i="4"/>
  <c r="BX68" i="5"/>
  <c r="BX69" i="5"/>
  <c r="BX70" i="5"/>
  <c r="BX71" i="5"/>
  <c r="BX72" i="5"/>
  <c r="BX73" i="5"/>
  <c r="BX74" i="5"/>
  <c r="BX75" i="5"/>
  <c r="BX76" i="5"/>
  <c r="BX77" i="5"/>
  <c r="BX78" i="5"/>
  <c r="BX79" i="5"/>
  <c r="BX80" i="5"/>
  <c r="BX81" i="5"/>
  <c r="CG69" i="4"/>
  <c r="CH69" i="4"/>
  <c r="P70" i="4"/>
  <c r="S70" i="4"/>
  <c r="V70" i="4"/>
  <c r="Y70" i="4"/>
  <c r="AB70" i="4"/>
  <c r="AC70" i="4"/>
  <c r="AG70" i="4"/>
  <c r="AH70" i="4"/>
  <c r="AI70" i="4"/>
  <c r="AJ70" i="4"/>
  <c r="AJ69" i="5"/>
  <c r="AM70" i="4"/>
  <c r="AM69" i="5"/>
  <c r="AR70" i="4"/>
  <c r="AY70" i="4"/>
  <c r="AZ70" i="4"/>
  <c r="BA70" i="4"/>
  <c r="BB70" i="4"/>
  <c r="BF70" i="4"/>
  <c r="BG70" i="4"/>
  <c r="BL70" i="4"/>
  <c r="BU69" i="5"/>
  <c r="BP70" i="4"/>
  <c r="BR70" i="4"/>
  <c r="BW70" i="4"/>
  <c r="CG70" i="4"/>
  <c r="CH70" i="4"/>
  <c r="J71" i="4"/>
  <c r="K71" i="4"/>
  <c r="P71" i="4"/>
  <c r="Q71" i="4"/>
  <c r="S71" i="4"/>
  <c r="T71" i="4"/>
  <c r="V71" i="4"/>
  <c r="W71" i="4"/>
  <c r="Y71" i="4"/>
  <c r="Z71" i="4"/>
  <c r="AB71" i="4"/>
  <c r="AC71" i="4"/>
  <c r="AG71" i="4"/>
  <c r="AH71" i="4"/>
  <c r="AI71" i="4"/>
  <c r="AI70" i="5"/>
  <c r="AJ71" i="4"/>
  <c r="AJ70" i="5"/>
  <c r="AM71" i="4"/>
  <c r="AM70" i="5"/>
  <c r="AR71" i="4"/>
  <c r="AR70" i="5"/>
  <c r="AX71" i="4"/>
  <c r="BO70" i="5"/>
  <c r="BA71" i="4"/>
  <c r="BB71" i="4"/>
  <c r="BL71" i="4"/>
  <c r="BU70" i="5"/>
  <c r="BP71" i="4"/>
  <c r="BR71" i="4"/>
  <c r="BW71" i="4"/>
  <c r="CG71" i="4"/>
  <c r="CH71" i="4"/>
  <c r="D72" i="4"/>
  <c r="G72" i="4"/>
  <c r="J72" i="4"/>
  <c r="K72" i="4"/>
  <c r="P72" i="4"/>
  <c r="Q72" i="4"/>
  <c r="S72" i="4"/>
  <c r="T72" i="4"/>
  <c r="V72" i="4"/>
  <c r="W72" i="4"/>
  <c r="Y72" i="4"/>
  <c r="Z72" i="4"/>
  <c r="AB72" i="4"/>
  <c r="AC72" i="4"/>
  <c r="AG72" i="4"/>
  <c r="AH72" i="4"/>
  <c r="AI72" i="4"/>
  <c r="AI71" i="5"/>
  <c r="AJ72" i="4"/>
  <c r="AJ71" i="5"/>
  <c r="AM72" i="4"/>
  <c r="AM71" i="5"/>
  <c r="AR72" i="4"/>
  <c r="AY72" i="4"/>
  <c r="AZ72" i="4"/>
  <c r="BC72" i="4"/>
  <c r="BD72" i="4"/>
  <c r="BF72" i="4"/>
  <c r="BG72" i="4"/>
  <c r="BL72" i="4"/>
  <c r="BU71" i="5"/>
  <c r="BP72" i="4"/>
  <c r="BR72" i="4"/>
  <c r="BW72" i="4"/>
  <c r="V73" i="4"/>
  <c r="AG73" i="4"/>
  <c r="AH73" i="4"/>
  <c r="AM73" i="4"/>
  <c r="AM72" i="5"/>
  <c r="AR73" i="4"/>
  <c r="AR72" i="5"/>
  <c r="AT72" i="5"/>
  <c r="AU72" i="5"/>
  <c r="AY73" i="4"/>
  <c r="AZ73" i="4"/>
  <c r="BC73" i="4"/>
  <c r="BF73" i="4"/>
  <c r="BG73" i="4"/>
  <c r="BL73" i="4"/>
  <c r="BU72" i="5"/>
  <c r="BP73" i="4"/>
  <c r="BR73" i="4"/>
  <c r="BW73" i="4"/>
  <c r="BZ73" i="4"/>
  <c r="CG73" i="4"/>
  <c r="CH73" i="4"/>
  <c r="D74" i="4"/>
  <c r="E74" i="4"/>
  <c r="G74" i="4"/>
  <c r="H74" i="4"/>
  <c r="J74" i="4"/>
  <c r="K74" i="4"/>
  <c r="P74" i="4"/>
  <c r="Q74" i="4"/>
  <c r="S74" i="4"/>
  <c r="T74" i="4"/>
  <c r="V74" i="4"/>
  <c r="W74" i="4"/>
  <c r="Y74" i="4"/>
  <c r="Z74" i="4"/>
  <c r="AB74" i="4"/>
  <c r="AC74" i="4"/>
  <c r="AG74" i="4"/>
  <c r="AH74" i="4"/>
  <c r="AI74" i="4"/>
  <c r="AI73" i="5"/>
  <c r="AJ74" i="4"/>
  <c r="AJ73" i="5"/>
  <c r="AM74" i="4"/>
  <c r="AM73" i="5"/>
  <c r="AR74" i="4"/>
  <c r="AR73" i="5"/>
  <c r="AY74" i="4"/>
  <c r="AZ74" i="4"/>
  <c r="BC74" i="4"/>
  <c r="BD74" i="4"/>
  <c r="BF74" i="4"/>
  <c r="BG74" i="4"/>
  <c r="BL74" i="4"/>
  <c r="BU73" i="5"/>
  <c r="BP74" i="4"/>
  <c r="BR74" i="4"/>
  <c r="BW74" i="4"/>
  <c r="CG74" i="4"/>
  <c r="CH74" i="4"/>
  <c r="D75" i="4"/>
  <c r="E75" i="4"/>
  <c r="G75" i="4"/>
  <c r="H75" i="4"/>
  <c r="J75" i="4"/>
  <c r="K75" i="4"/>
  <c r="P75" i="4"/>
  <c r="Q75" i="4"/>
  <c r="S75" i="4"/>
  <c r="T75" i="4"/>
  <c r="V75" i="4"/>
  <c r="W75" i="4"/>
  <c r="Y75" i="4"/>
  <c r="Z75" i="4"/>
  <c r="AB75" i="4"/>
  <c r="AC75" i="4"/>
  <c r="AG75" i="4"/>
  <c r="AH75" i="4"/>
  <c r="AI75" i="4"/>
  <c r="AI74" i="5"/>
  <c r="AJ75" i="4"/>
  <c r="AJ74" i="5"/>
  <c r="AM75" i="4"/>
  <c r="AM74" i="5"/>
  <c r="AR75" i="4"/>
  <c r="AR74" i="5"/>
  <c r="AY75" i="4"/>
  <c r="AZ75" i="4"/>
  <c r="BC75" i="4"/>
  <c r="BD75" i="4"/>
  <c r="BF75" i="4"/>
  <c r="BG75" i="4"/>
  <c r="BL75" i="4"/>
  <c r="BU74" i="5"/>
  <c r="BP75" i="4"/>
  <c r="BR75" i="4"/>
  <c r="BW75" i="4"/>
  <c r="CG75" i="4"/>
  <c r="CH75" i="4"/>
  <c r="D76" i="4"/>
  <c r="E76" i="4"/>
  <c r="G76" i="4"/>
  <c r="H76" i="4"/>
  <c r="J76" i="4"/>
  <c r="K76" i="4"/>
  <c r="L76" i="4"/>
  <c r="S76" i="4"/>
  <c r="T76" i="4"/>
  <c r="V76" i="4"/>
  <c r="W76" i="4"/>
  <c r="Y76" i="4"/>
  <c r="Z76" i="4"/>
  <c r="AB76" i="4"/>
  <c r="AC76" i="4"/>
  <c r="AG76" i="4"/>
  <c r="AH76" i="4"/>
  <c r="AI76" i="4"/>
  <c r="AI75" i="5"/>
  <c r="AJ76" i="4"/>
  <c r="AJ75" i="5"/>
  <c r="AM76" i="4"/>
  <c r="AM75" i="5"/>
  <c r="AR76" i="4"/>
  <c r="AY76" i="4"/>
  <c r="AZ76" i="4"/>
  <c r="BC76" i="4"/>
  <c r="BD76" i="4"/>
  <c r="BF76" i="4"/>
  <c r="BG76" i="4"/>
  <c r="BL76" i="4"/>
  <c r="BP76" i="4"/>
  <c r="BR76" i="4"/>
  <c r="BW76" i="4"/>
  <c r="D77" i="4"/>
  <c r="E77" i="4"/>
  <c r="G77" i="4"/>
  <c r="H77" i="4"/>
  <c r="J77" i="4"/>
  <c r="K77" i="4"/>
  <c r="P77" i="4"/>
  <c r="Q77" i="4"/>
  <c r="S77" i="4"/>
  <c r="T77" i="4"/>
  <c r="V77" i="4"/>
  <c r="W77" i="4"/>
  <c r="Y77" i="4"/>
  <c r="Z77" i="4"/>
  <c r="AB77" i="4"/>
  <c r="AC77" i="4"/>
  <c r="AG77" i="4"/>
  <c r="AH77" i="4"/>
  <c r="AI77" i="4"/>
  <c r="AI76" i="5"/>
  <c r="AJ77" i="4"/>
  <c r="AJ76" i="5"/>
  <c r="AM77" i="4"/>
  <c r="AM76" i="5"/>
  <c r="AR77" i="4"/>
  <c r="AY77" i="4"/>
  <c r="AZ77" i="4"/>
  <c r="BC77" i="4"/>
  <c r="BD77" i="4"/>
  <c r="BF77" i="4"/>
  <c r="BG77" i="4"/>
  <c r="BL77" i="4"/>
  <c r="BP77" i="4"/>
  <c r="BR77" i="4"/>
  <c r="BW77" i="4"/>
  <c r="CG77" i="4"/>
  <c r="CH77" i="4"/>
  <c r="AG78" i="4"/>
  <c r="AH78" i="4"/>
  <c r="AM78" i="4"/>
  <c r="AM77" i="5"/>
  <c r="AR78" i="4"/>
  <c r="AR77" i="5"/>
  <c r="AY78" i="4"/>
  <c r="AZ78" i="4"/>
  <c r="BC78" i="4"/>
  <c r="BF78" i="4"/>
  <c r="BG78" i="4"/>
  <c r="BL78" i="4"/>
  <c r="BU77" i="5"/>
  <c r="BP78" i="4"/>
  <c r="BR78" i="4"/>
  <c r="BW78" i="4"/>
  <c r="BZ78" i="4"/>
  <c r="V79" i="4"/>
  <c r="Y79" i="4"/>
  <c r="Z79" i="4"/>
  <c r="AB79" i="4"/>
  <c r="AC79" i="4"/>
  <c r="AG79" i="4"/>
  <c r="AH79" i="4"/>
  <c r="AI79" i="4"/>
  <c r="AI78" i="5"/>
  <c r="AJ79" i="4"/>
  <c r="AJ78" i="5"/>
  <c r="AM79" i="4"/>
  <c r="AM78" i="5"/>
  <c r="AR79" i="4"/>
  <c r="AR78" i="5"/>
  <c r="AX79" i="4"/>
  <c r="BO78" i="5"/>
  <c r="BC79" i="4"/>
  <c r="BD79" i="4"/>
  <c r="BE79" i="4"/>
  <c r="BR78" i="5"/>
  <c r="BN79" i="4"/>
  <c r="BW79" i="4"/>
  <c r="BX79" i="4"/>
  <c r="CC79" i="4"/>
  <c r="CC82" i="4"/>
  <c r="Y80" i="4"/>
  <c r="AB80" i="4"/>
  <c r="AG80" i="4"/>
  <c r="AH80" i="4"/>
  <c r="AM80" i="4"/>
  <c r="AM79" i="5"/>
  <c r="AR80" i="4"/>
  <c r="AY80" i="4"/>
  <c r="AZ80" i="4"/>
  <c r="BC80" i="4"/>
  <c r="BF80" i="4"/>
  <c r="BG80" i="4"/>
  <c r="BL80" i="4"/>
  <c r="BU79" i="5"/>
  <c r="BP80" i="4"/>
  <c r="BR80" i="4"/>
  <c r="BW80" i="4"/>
  <c r="BZ80" i="4"/>
  <c r="CG80" i="4"/>
  <c r="CH80" i="4"/>
  <c r="AG81" i="4"/>
  <c r="AH81" i="4"/>
  <c r="AI81" i="4"/>
  <c r="AI80" i="5"/>
  <c r="AJ81" i="4"/>
  <c r="AJ80" i="5"/>
  <c r="AM81" i="4"/>
  <c r="AM80" i="5"/>
  <c r="AR81" i="4"/>
  <c r="AR80" i="5"/>
  <c r="AY81" i="4"/>
  <c r="AZ81" i="4"/>
  <c r="BC81" i="4"/>
  <c r="BD81" i="4"/>
  <c r="BF81" i="4"/>
  <c r="BG81" i="4"/>
  <c r="BL81" i="4"/>
  <c r="BU80" i="5"/>
  <c r="BP81" i="4"/>
  <c r="BR81" i="4"/>
  <c r="BW81" i="4"/>
  <c r="I82" i="4"/>
  <c r="I81" i="5"/>
  <c r="O82" i="4"/>
  <c r="O81" i="5"/>
  <c r="AA82" i="4"/>
  <c r="AD82" i="4"/>
  <c r="AF82" i="4"/>
  <c r="AK82" i="4"/>
  <c r="AL82" i="4"/>
  <c r="AN82" i="4"/>
  <c r="AO82" i="4"/>
  <c r="AP82" i="4"/>
  <c r="AQ82" i="4"/>
  <c r="AR82" i="4"/>
  <c r="BH82" i="4"/>
  <c r="BK82" i="4"/>
  <c r="BO82" i="4"/>
  <c r="BS82" i="4"/>
  <c r="BV82" i="4"/>
  <c r="BP83" i="4"/>
  <c r="BR83" i="4"/>
  <c r="BW83" i="4"/>
  <c r="BP84" i="4"/>
  <c r="BR84" i="4"/>
  <c r="BW84" i="4"/>
  <c r="BP85" i="4"/>
  <c r="BR85" i="4"/>
  <c r="BW85" i="4"/>
  <c r="BP86" i="4"/>
  <c r="BR86" i="4"/>
  <c r="BW86" i="4"/>
  <c r="BP87" i="4"/>
  <c r="BR87" i="4"/>
  <c r="BW87" i="4"/>
  <c r="BP88" i="4"/>
  <c r="BR88" i="4"/>
  <c r="BW88" i="4"/>
  <c r="BP89" i="4"/>
  <c r="BR89" i="4"/>
  <c r="BW89" i="4"/>
  <c r="BP90" i="4"/>
  <c r="BR90" i="4"/>
  <c r="BW90" i="4"/>
  <c r="BP91" i="4"/>
  <c r="BR91" i="4"/>
  <c r="BW91" i="4"/>
  <c r="BP92" i="4"/>
  <c r="BR92" i="4"/>
  <c r="B93" i="4"/>
  <c r="C93" i="4"/>
  <c r="C92" i="5"/>
  <c r="F93" i="4"/>
  <c r="I93" i="4"/>
  <c r="I92" i="5"/>
  <c r="P93" i="4"/>
  <c r="Q93" i="4"/>
  <c r="S93" i="4"/>
  <c r="T93" i="4"/>
  <c r="V93" i="4"/>
  <c r="W93" i="4"/>
  <c r="Y93" i="4"/>
  <c r="Z93" i="4"/>
  <c r="AB93" i="4"/>
  <c r="AC93" i="4"/>
  <c r="AG93" i="4"/>
  <c r="AH93" i="4"/>
  <c r="AM93" i="4"/>
  <c r="AM92" i="5"/>
  <c r="AR93" i="4"/>
  <c r="AR92" i="5"/>
  <c r="AX93" i="4"/>
  <c r="BO92" i="5"/>
  <c r="BA93" i="4"/>
  <c r="BB93" i="4"/>
  <c r="BL92" i="5"/>
  <c r="BF93" i="4"/>
  <c r="BG93" i="4"/>
  <c r="BL93" i="4"/>
  <c r="BU92" i="5"/>
  <c r="BP93" i="4"/>
  <c r="BR93" i="4"/>
  <c r="BW93" i="4"/>
  <c r="BX92" i="5"/>
  <c r="B94" i="4"/>
  <c r="B93" i="5"/>
  <c r="C94" i="4"/>
  <c r="F94" i="4"/>
  <c r="P94" i="4"/>
  <c r="Q94" i="4"/>
  <c r="S94" i="4"/>
  <c r="T94" i="4"/>
  <c r="V94" i="4"/>
  <c r="W94" i="4"/>
  <c r="Y94" i="4"/>
  <c r="Z94" i="4"/>
  <c r="AB94" i="4"/>
  <c r="AC94" i="4"/>
  <c r="AG94" i="4"/>
  <c r="AH94" i="4"/>
  <c r="AM94" i="4"/>
  <c r="AM93" i="5"/>
  <c r="AR94" i="4"/>
  <c r="AR93" i="5"/>
  <c r="AY94" i="4"/>
  <c r="AZ94" i="4"/>
  <c r="BA94" i="4"/>
  <c r="BB94" i="4"/>
  <c r="BF94" i="4"/>
  <c r="BG94" i="4"/>
  <c r="BH94" i="4"/>
  <c r="BL94" i="4"/>
  <c r="BU93" i="5"/>
  <c r="BP94" i="4"/>
  <c r="BR94" i="4"/>
  <c r="BW94" i="4"/>
  <c r="BX93" i="5"/>
  <c r="D95" i="4"/>
  <c r="E95" i="4"/>
  <c r="G95" i="4"/>
  <c r="H95" i="4"/>
  <c r="J95" i="4"/>
  <c r="K95" i="4"/>
  <c r="P95" i="4"/>
  <c r="Q95" i="4"/>
  <c r="S95" i="4"/>
  <c r="T95" i="4"/>
  <c r="V95" i="4"/>
  <c r="W95" i="4"/>
  <c r="Y95" i="4"/>
  <c r="Z95" i="4"/>
  <c r="AB95" i="4"/>
  <c r="AC95" i="4"/>
  <c r="AG95" i="4"/>
  <c r="AH95" i="4"/>
  <c r="AM95" i="4"/>
  <c r="AM94" i="5"/>
  <c r="AR95" i="4"/>
  <c r="AR94" i="5"/>
  <c r="AY95" i="4"/>
  <c r="AZ95" i="4"/>
  <c r="BC95" i="4"/>
  <c r="BD95" i="4"/>
  <c r="BF95" i="4"/>
  <c r="BG95" i="4"/>
  <c r="BL95" i="4"/>
  <c r="BU94" i="5"/>
  <c r="BV94" i="5"/>
  <c r="BP95" i="4"/>
  <c r="BR95" i="4"/>
  <c r="BW95" i="4"/>
  <c r="BZ95" i="4"/>
  <c r="B96" i="4"/>
  <c r="B95" i="5"/>
  <c r="C96" i="4"/>
  <c r="C95" i="5"/>
  <c r="F96" i="4"/>
  <c r="F95" i="5"/>
  <c r="G96" i="4"/>
  <c r="P96" i="4"/>
  <c r="Q96" i="4"/>
  <c r="S96" i="4"/>
  <c r="T96" i="4"/>
  <c r="V96" i="4"/>
  <c r="W96" i="4"/>
  <c r="Y96" i="4"/>
  <c r="Z96" i="4"/>
  <c r="AB96" i="4"/>
  <c r="AC96" i="4"/>
  <c r="AG96" i="4"/>
  <c r="AH96" i="4"/>
  <c r="AM96" i="4"/>
  <c r="AM95" i="5"/>
  <c r="AR96" i="4"/>
  <c r="AX96" i="4"/>
  <c r="BO95" i="5"/>
  <c r="AY96" i="4"/>
  <c r="AZ96" i="4"/>
  <c r="BA96" i="4"/>
  <c r="BB96" i="4"/>
  <c r="BL96" i="4"/>
  <c r="BU95" i="5"/>
  <c r="BP96" i="4"/>
  <c r="BR96" i="4"/>
  <c r="BW96" i="4"/>
  <c r="BX95" i="5"/>
  <c r="B97" i="4"/>
  <c r="B96" i="5"/>
  <c r="C97" i="4"/>
  <c r="C96" i="5"/>
  <c r="J97" i="4"/>
  <c r="K97" i="4"/>
  <c r="P97" i="4"/>
  <c r="Q97" i="4"/>
  <c r="S97" i="4"/>
  <c r="T97" i="4"/>
  <c r="V97" i="4"/>
  <c r="W97" i="4"/>
  <c r="Y97" i="4"/>
  <c r="Z97" i="4"/>
  <c r="AB97" i="4"/>
  <c r="AC97" i="4"/>
  <c r="AG97" i="4"/>
  <c r="AH97" i="4"/>
  <c r="AM97" i="4"/>
  <c r="AM96" i="5"/>
  <c r="AR97" i="4"/>
  <c r="AR96" i="5"/>
  <c r="AY97" i="4"/>
  <c r="AZ97" i="4"/>
  <c r="BC97" i="4"/>
  <c r="BD97" i="4"/>
  <c r="BF97" i="4"/>
  <c r="BG97" i="4"/>
  <c r="BL97" i="4"/>
  <c r="BU96" i="5"/>
  <c r="BP97" i="4"/>
  <c r="BR97" i="4"/>
  <c r="BW97" i="4"/>
  <c r="BX96" i="5"/>
  <c r="P98" i="4"/>
  <c r="Q98" i="4"/>
  <c r="S98" i="4"/>
  <c r="T98" i="4"/>
  <c r="V98" i="4"/>
  <c r="W98" i="4"/>
  <c r="Y98" i="4"/>
  <c r="Z98" i="4"/>
  <c r="AB98" i="4"/>
  <c r="AC98" i="4"/>
  <c r="AG98" i="4"/>
  <c r="AH98" i="4"/>
  <c r="AI98" i="4"/>
  <c r="AI97" i="5"/>
  <c r="AJ98" i="4"/>
  <c r="AJ97" i="5"/>
  <c r="AM98" i="4"/>
  <c r="AM97" i="5"/>
  <c r="AR98" i="4"/>
  <c r="AR97" i="5"/>
  <c r="AY98" i="4"/>
  <c r="AZ98" i="4"/>
  <c r="BC98" i="4"/>
  <c r="BD98" i="4"/>
  <c r="BF98" i="4"/>
  <c r="BG98" i="4"/>
  <c r="BL98" i="4"/>
  <c r="BU97" i="5"/>
  <c r="BP98" i="4"/>
  <c r="BR98" i="4"/>
  <c r="BW98" i="4"/>
  <c r="BX97" i="5"/>
  <c r="D99" i="4"/>
  <c r="E99" i="4"/>
  <c r="G99" i="4"/>
  <c r="H99" i="4"/>
  <c r="J99" i="4"/>
  <c r="K99" i="4"/>
  <c r="AR99" i="4"/>
  <c r="AS99" i="4"/>
  <c r="AT99" i="4"/>
  <c r="AU99" i="4"/>
  <c r="AY99" i="4"/>
  <c r="AZ99" i="4"/>
  <c r="BC99" i="4"/>
  <c r="BF99" i="4"/>
  <c r="BG99" i="4"/>
  <c r="BL99" i="4"/>
  <c r="BU98" i="5"/>
  <c r="BP99" i="4"/>
  <c r="BR99" i="4"/>
  <c r="BW99" i="4"/>
  <c r="BX98" i="5"/>
  <c r="BZ99" i="4"/>
  <c r="D100" i="4"/>
  <c r="E100" i="4"/>
  <c r="G100" i="4"/>
  <c r="H100" i="4"/>
  <c r="J100" i="4"/>
  <c r="K100" i="4"/>
  <c r="P100" i="4"/>
  <c r="Q100" i="4"/>
  <c r="S100" i="4"/>
  <c r="T100" i="4"/>
  <c r="V100" i="4"/>
  <c r="W100" i="4"/>
  <c r="Y100" i="4"/>
  <c r="Z100" i="4"/>
  <c r="AB100" i="4"/>
  <c r="AC100" i="4"/>
  <c r="AG100" i="4"/>
  <c r="AH100" i="4"/>
  <c r="AM100" i="4"/>
  <c r="AM99" i="5"/>
  <c r="AR100" i="4"/>
  <c r="AR99" i="5"/>
  <c r="AY100" i="4"/>
  <c r="AZ100" i="4"/>
  <c r="BC100" i="4"/>
  <c r="BF100" i="4"/>
  <c r="BG100" i="4"/>
  <c r="BL100" i="4"/>
  <c r="BP100" i="4"/>
  <c r="BR100" i="4"/>
  <c r="BW100" i="4"/>
  <c r="BX99" i="5"/>
  <c r="D101" i="4"/>
  <c r="E101" i="4"/>
  <c r="G101" i="4"/>
  <c r="H101" i="4"/>
  <c r="J101" i="4"/>
  <c r="K101" i="4"/>
  <c r="P101" i="4"/>
  <c r="Q101" i="4"/>
  <c r="S101" i="4"/>
  <c r="T101" i="4"/>
  <c r="V101" i="4"/>
  <c r="W101" i="4"/>
  <c r="Y101" i="4"/>
  <c r="Z101" i="4"/>
  <c r="AB101" i="4"/>
  <c r="AC101" i="4"/>
  <c r="AG101" i="4"/>
  <c r="AH101" i="4"/>
  <c r="AM101" i="4"/>
  <c r="AM100" i="5"/>
  <c r="AR101" i="4"/>
  <c r="AY101" i="4"/>
  <c r="AZ101" i="4"/>
  <c r="BC101" i="4"/>
  <c r="BF101" i="4"/>
  <c r="BG101" i="4"/>
  <c r="BL101" i="4"/>
  <c r="BU100" i="5"/>
  <c r="BP101" i="4"/>
  <c r="BR101" i="4"/>
  <c r="BW101" i="4"/>
  <c r="BX100" i="5"/>
  <c r="BZ101" i="4"/>
  <c r="CG101" i="4"/>
  <c r="CH101" i="4"/>
  <c r="D102" i="4"/>
  <c r="E102" i="4"/>
  <c r="G102" i="4"/>
  <c r="H102" i="4"/>
  <c r="J102" i="4"/>
  <c r="K102" i="4"/>
  <c r="P102" i="4"/>
  <c r="Q102" i="4"/>
  <c r="S102" i="4"/>
  <c r="T102" i="4"/>
  <c r="V102" i="4"/>
  <c r="W102" i="4"/>
  <c r="Y102" i="4"/>
  <c r="Z102" i="4"/>
  <c r="AB102" i="4"/>
  <c r="AC102" i="4"/>
  <c r="AG102" i="4"/>
  <c r="AH102" i="4"/>
  <c r="AM102" i="4"/>
  <c r="AM101" i="5"/>
  <c r="AR102" i="4"/>
  <c r="AR101" i="5"/>
  <c r="AY102" i="4"/>
  <c r="AZ102" i="4"/>
  <c r="BC102" i="4"/>
  <c r="BD102" i="4"/>
  <c r="BF102" i="4"/>
  <c r="BG102" i="4"/>
  <c r="BL102" i="4"/>
  <c r="BU101" i="5"/>
  <c r="BP102" i="4"/>
  <c r="BR102" i="4"/>
  <c r="BW102" i="4"/>
  <c r="BX101" i="5"/>
  <c r="D103" i="4"/>
  <c r="E103" i="4"/>
  <c r="G103" i="4"/>
  <c r="H103" i="4"/>
  <c r="J103" i="4"/>
  <c r="K103" i="4"/>
  <c r="P103" i="4"/>
  <c r="Q103" i="4"/>
  <c r="S103" i="4"/>
  <c r="T103" i="4"/>
  <c r="V103" i="4"/>
  <c r="W103" i="4"/>
  <c r="Y103" i="4"/>
  <c r="Z103" i="4"/>
  <c r="AB103" i="4"/>
  <c r="AC103" i="4"/>
  <c r="AG103" i="4"/>
  <c r="AH103" i="4"/>
  <c r="AM103" i="4"/>
  <c r="AM102" i="5"/>
  <c r="AR103" i="4"/>
  <c r="AR102" i="5"/>
  <c r="AY103" i="4"/>
  <c r="AZ103" i="4"/>
  <c r="BC103" i="4"/>
  <c r="BD103" i="4"/>
  <c r="BF103" i="4"/>
  <c r="BG103" i="4"/>
  <c r="BL103" i="4"/>
  <c r="BU102" i="5"/>
  <c r="BP103" i="4"/>
  <c r="BR103" i="4"/>
  <c r="BW103" i="4"/>
  <c r="BX102" i="5"/>
  <c r="C104" i="4"/>
  <c r="C103" i="5"/>
  <c r="F104" i="4"/>
  <c r="F103" i="5"/>
  <c r="P104" i="4"/>
  <c r="Q104" i="4"/>
  <c r="S104" i="4"/>
  <c r="T104" i="4"/>
  <c r="V104" i="4"/>
  <c r="W104" i="4"/>
  <c r="Y104" i="4"/>
  <c r="Z104" i="4"/>
  <c r="AB104" i="4"/>
  <c r="AC104" i="4"/>
  <c r="AG104" i="4"/>
  <c r="AH104" i="4"/>
  <c r="AI104" i="4"/>
  <c r="AI103" i="5"/>
  <c r="AJ104" i="4"/>
  <c r="AJ103" i="5"/>
  <c r="AM104" i="4"/>
  <c r="AM103" i="5"/>
  <c r="AR104" i="4"/>
  <c r="AR103" i="5"/>
  <c r="AY104" i="4"/>
  <c r="AZ104" i="4"/>
  <c r="BA104" i="4"/>
  <c r="BB104" i="4"/>
  <c r="BL103" i="5"/>
  <c r="BF104" i="4"/>
  <c r="BG104" i="4"/>
  <c r="BL104" i="4"/>
  <c r="BP104" i="4"/>
  <c r="BR104" i="4"/>
  <c r="BW104" i="4"/>
  <c r="BX103" i="5"/>
  <c r="CG104" i="4"/>
  <c r="CH104" i="4"/>
  <c r="D105" i="4"/>
  <c r="G105" i="4"/>
  <c r="J105" i="4"/>
  <c r="P105" i="4"/>
  <c r="Q105" i="4"/>
  <c r="S105" i="4"/>
  <c r="T105" i="4"/>
  <c r="V105" i="4"/>
  <c r="W105" i="4"/>
  <c r="Y105" i="4"/>
  <c r="Z105" i="4"/>
  <c r="AB105" i="4"/>
  <c r="AC105" i="4"/>
  <c r="AG105" i="4"/>
  <c r="AH105" i="4"/>
  <c r="AM105" i="4"/>
  <c r="AM104" i="5"/>
  <c r="AR105" i="4"/>
  <c r="AR104" i="5"/>
  <c r="AY105" i="4"/>
  <c r="AZ105" i="4"/>
  <c r="BA105" i="4"/>
  <c r="BB105" i="4"/>
  <c r="BF105" i="4"/>
  <c r="BG105" i="4"/>
  <c r="BL105" i="4"/>
  <c r="BU104" i="5"/>
  <c r="BP105" i="4"/>
  <c r="BR105" i="4"/>
  <c r="BW105" i="4"/>
  <c r="BX104" i="5"/>
  <c r="V106" i="4"/>
  <c r="Y106" i="4"/>
  <c r="AB106" i="4"/>
  <c r="AG106" i="4"/>
  <c r="AH106" i="4"/>
  <c r="AI106" i="4"/>
  <c r="AI105" i="5"/>
  <c r="AJ106" i="4"/>
  <c r="AJ105" i="5"/>
  <c r="AM106" i="4"/>
  <c r="AM105" i="5"/>
  <c r="AR106" i="4"/>
  <c r="AY106" i="4"/>
  <c r="AZ106" i="4"/>
  <c r="BC106" i="4"/>
  <c r="BD106" i="4"/>
  <c r="BG106" i="4"/>
  <c r="BL106" i="4"/>
  <c r="BU105" i="5"/>
  <c r="BP106" i="4"/>
  <c r="BR106" i="4"/>
  <c r="BW106" i="4"/>
  <c r="BX105" i="5"/>
  <c r="BZ106" i="4"/>
  <c r="D107" i="4"/>
  <c r="G107" i="4"/>
  <c r="J107" i="4"/>
  <c r="P107" i="4"/>
  <c r="Q107" i="4"/>
  <c r="S107" i="4"/>
  <c r="T107" i="4"/>
  <c r="V107" i="4"/>
  <c r="W107" i="4"/>
  <c r="Y107" i="4"/>
  <c r="Z107" i="4"/>
  <c r="AB107" i="4"/>
  <c r="AC107" i="4"/>
  <c r="AG107" i="4"/>
  <c r="AH107" i="4"/>
  <c r="AM107" i="4"/>
  <c r="AM106" i="5"/>
  <c r="AR107" i="4"/>
  <c r="AR106" i="5"/>
  <c r="AY107" i="4"/>
  <c r="AZ107" i="4"/>
  <c r="BC107" i="4"/>
  <c r="BD107" i="4"/>
  <c r="BF107" i="4"/>
  <c r="BG107" i="4"/>
  <c r="BL107" i="4"/>
  <c r="BU106" i="5"/>
  <c r="BP107" i="4"/>
  <c r="BR107" i="4"/>
  <c r="BW107" i="4"/>
  <c r="BX106" i="5"/>
  <c r="CG107" i="4"/>
  <c r="CH107" i="4"/>
  <c r="P108" i="4"/>
  <c r="Q108" i="4"/>
  <c r="S108" i="4"/>
  <c r="T108" i="4"/>
  <c r="V108" i="4"/>
  <c r="W108" i="4"/>
  <c r="Y108" i="4"/>
  <c r="Z108" i="4"/>
  <c r="AB108" i="4"/>
  <c r="AC108" i="4"/>
  <c r="AG108" i="4"/>
  <c r="AH108" i="4"/>
  <c r="AM108" i="4"/>
  <c r="AM107" i="5"/>
  <c r="AR108" i="4"/>
  <c r="AR107" i="5"/>
  <c r="AY108" i="4"/>
  <c r="AZ108" i="4"/>
  <c r="BC108" i="4"/>
  <c r="BD108" i="4"/>
  <c r="BF108" i="4"/>
  <c r="BG108" i="4"/>
  <c r="BL108" i="4"/>
  <c r="BU107" i="5"/>
  <c r="BP108" i="4"/>
  <c r="BR108" i="4"/>
  <c r="BW108" i="4"/>
  <c r="BX107" i="5"/>
  <c r="BZ108" i="4"/>
  <c r="CG108" i="4"/>
  <c r="CH108" i="4"/>
  <c r="P109" i="4"/>
  <c r="Q109" i="4"/>
  <c r="S109" i="4"/>
  <c r="V109" i="4"/>
  <c r="Y109" i="4"/>
  <c r="AB109" i="4"/>
  <c r="AG109" i="4"/>
  <c r="AH109" i="4"/>
  <c r="AM109" i="4"/>
  <c r="AM108" i="5"/>
  <c r="AR109" i="4"/>
  <c r="AR108" i="5"/>
  <c r="AY109" i="4"/>
  <c r="AZ109" i="4"/>
  <c r="BC109" i="4"/>
  <c r="BF109" i="4"/>
  <c r="BG109" i="4"/>
  <c r="BL109" i="4"/>
  <c r="BU108" i="5"/>
  <c r="BP109" i="4"/>
  <c r="BR109" i="4"/>
  <c r="BW109" i="4"/>
  <c r="BX108" i="5"/>
  <c r="BZ109" i="4"/>
  <c r="P110" i="4"/>
  <c r="S110" i="4"/>
  <c r="V110" i="4"/>
  <c r="AB110" i="4"/>
  <c r="AC110" i="4"/>
  <c r="AG110" i="4"/>
  <c r="AH110" i="4"/>
  <c r="AM110" i="4"/>
  <c r="AM109" i="5"/>
  <c r="AR110" i="4"/>
  <c r="AY110" i="4"/>
  <c r="AZ110" i="4"/>
  <c r="BA110" i="4"/>
  <c r="BB110" i="4"/>
  <c r="BL109" i="5"/>
  <c r="BF110" i="4"/>
  <c r="BG110" i="4"/>
  <c r="BL110" i="4"/>
  <c r="BU109" i="5"/>
  <c r="BP110" i="4"/>
  <c r="BR110" i="4"/>
  <c r="BW110" i="4"/>
  <c r="BX109" i="5"/>
  <c r="BZ110" i="4"/>
  <c r="P111" i="4"/>
  <c r="S111" i="4"/>
  <c r="V111" i="4"/>
  <c r="Y111" i="4"/>
  <c r="AB111" i="4"/>
  <c r="AC111" i="4"/>
  <c r="AG111" i="4"/>
  <c r="AH111" i="4"/>
  <c r="AM111" i="4"/>
  <c r="AM110" i="5"/>
  <c r="AR111" i="4"/>
  <c r="AR110" i="5"/>
  <c r="AY111" i="4"/>
  <c r="AZ111" i="4"/>
  <c r="BC111" i="4"/>
  <c r="BD111" i="4"/>
  <c r="BF111" i="4"/>
  <c r="BG111" i="4"/>
  <c r="BL111" i="4"/>
  <c r="BU110" i="5"/>
  <c r="BP111" i="4"/>
  <c r="BR111" i="4"/>
  <c r="BW111" i="4"/>
  <c r="BX110" i="5"/>
  <c r="BZ111" i="4"/>
  <c r="CG111" i="4"/>
  <c r="CH111" i="4"/>
  <c r="P112" i="4"/>
  <c r="S112" i="4"/>
  <c r="T112" i="4"/>
  <c r="V112" i="4"/>
  <c r="W112" i="4"/>
  <c r="Y112" i="4"/>
  <c r="Z112" i="4"/>
  <c r="AB112" i="4"/>
  <c r="AC112" i="4"/>
  <c r="AF112" i="4"/>
  <c r="AF111" i="5"/>
  <c r="AI112" i="4"/>
  <c r="AI111" i="5"/>
  <c r="AJ112" i="4"/>
  <c r="AJ111" i="5"/>
  <c r="AM112" i="4"/>
  <c r="AM111" i="5"/>
  <c r="AR112" i="4"/>
  <c r="AX112" i="4"/>
  <c r="BO111" i="5"/>
  <c r="BA112" i="4"/>
  <c r="BB112" i="4"/>
  <c r="BL112" i="4"/>
  <c r="BU111" i="5"/>
  <c r="BP112" i="4"/>
  <c r="BR112" i="4"/>
  <c r="BW112" i="4"/>
  <c r="BX111" i="5"/>
  <c r="Y113" i="4"/>
  <c r="AB113" i="4"/>
  <c r="AG113" i="4"/>
  <c r="AH113" i="4"/>
  <c r="AI113" i="4"/>
  <c r="AI112" i="5"/>
  <c r="AJ113" i="4"/>
  <c r="AJ112" i="5"/>
  <c r="AM113" i="4"/>
  <c r="AM112" i="5"/>
  <c r="AR113" i="4"/>
  <c r="AR112" i="5"/>
  <c r="AY113" i="4"/>
  <c r="AZ113" i="4"/>
  <c r="BC113" i="4"/>
  <c r="BD113" i="4"/>
  <c r="BF113" i="4"/>
  <c r="BG113" i="4"/>
  <c r="BL113" i="4"/>
  <c r="BU112" i="5"/>
  <c r="BP113" i="4"/>
  <c r="BR113" i="4"/>
  <c r="BW113" i="4"/>
  <c r="BX112" i="5"/>
  <c r="BZ113" i="4"/>
  <c r="I114" i="4"/>
  <c r="I117" i="4"/>
  <c r="I116" i="5"/>
  <c r="L114" i="4"/>
  <c r="L117" i="4"/>
  <c r="L116" i="5"/>
  <c r="O114" i="4"/>
  <c r="O117" i="4"/>
  <c r="O13" i="2"/>
  <c r="X114" i="4"/>
  <c r="X113" i="5"/>
  <c r="AA114" i="4"/>
  <c r="AA113" i="5"/>
  <c r="AF114" i="4"/>
  <c r="AR114" i="4"/>
  <c r="AS114" i="4"/>
  <c r="AX114" i="4"/>
  <c r="BO113" i="5"/>
  <c r="BC114" i="4"/>
  <c r="BD114" i="4"/>
  <c r="BL114" i="4"/>
  <c r="BU113" i="5"/>
  <c r="BN114" i="4"/>
  <c r="BN117" i="4"/>
  <c r="BN119" i="4"/>
  <c r="BW119" i="4"/>
  <c r="BP114" i="4"/>
  <c r="BR114" i="4"/>
  <c r="BP115" i="4"/>
  <c r="BR115" i="4"/>
  <c r="BW115" i="4"/>
  <c r="Y116" i="4"/>
  <c r="AB116" i="4"/>
  <c r="AC116" i="4"/>
  <c r="AG116" i="4"/>
  <c r="AH116" i="4"/>
  <c r="AM116" i="4"/>
  <c r="AM115" i="5"/>
  <c r="AR116" i="4"/>
  <c r="AR115" i="5"/>
  <c r="AY116" i="4"/>
  <c r="AZ116" i="4"/>
  <c r="BC116" i="4"/>
  <c r="BD116" i="4"/>
  <c r="BF116" i="4"/>
  <c r="BG116" i="4"/>
  <c r="BL116" i="4"/>
  <c r="BU115" i="5"/>
  <c r="BP116" i="4"/>
  <c r="BR116" i="4"/>
  <c r="BW116" i="4"/>
  <c r="BX115" i="5"/>
  <c r="BZ116" i="4"/>
  <c r="R117" i="4"/>
  <c r="R116" i="5"/>
  <c r="U117" i="4"/>
  <c r="U116" i="5"/>
  <c r="X117" i="4"/>
  <c r="AD117" i="4"/>
  <c r="AD116" i="5"/>
  <c r="AE117" i="4"/>
  <c r="AK117" i="4"/>
  <c r="AL117" i="4"/>
  <c r="AN117" i="4"/>
  <c r="AO117" i="4"/>
  <c r="AP117" i="4"/>
  <c r="AQ117" i="4"/>
  <c r="BE117" i="4"/>
  <c r="BR116" i="5"/>
  <c r="BH117" i="4"/>
  <c r="BK117" i="4"/>
  <c r="BO117" i="4"/>
  <c r="BO119" i="4"/>
  <c r="BP119" i="4"/>
  <c r="BR119" i="4"/>
  <c r="BX117" i="4"/>
  <c r="CC117" i="4"/>
  <c r="BP120" i="4"/>
  <c r="BR120" i="4"/>
  <c r="BW120" i="4"/>
  <c r="BP121" i="4"/>
  <c r="BR121" i="4"/>
  <c r="BW121" i="4"/>
  <c r="BP122" i="4"/>
  <c r="BR122" i="4"/>
  <c r="BW122" i="4"/>
  <c r="BP123" i="4"/>
  <c r="BR123" i="4"/>
  <c r="BW123" i="4"/>
  <c r="BP124" i="4"/>
  <c r="BR124" i="4"/>
  <c r="BW124" i="4"/>
  <c r="BP125" i="4"/>
  <c r="BR125" i="4"/>
  <c r="BW125" i="4"/>
  <c r="BP126" i="4"/>
  <c r="BR126" i="4"/>
  <c r="BW126" i="4"/>
  <c r="BP127" i="4"/>
  <c r="BR127" i="4"/>
  <c r="Y128" i="4"/>
  <c r="AB128" i="4"/>
  <c r="AC128" i="4"/>
  <c r="AG128" i="4"/>
  <c r="AH128" i="4"/>
  <c r="AM128" i="4"/>
  <c r="AM127" i="5"/>
  <c r="AR128" i="4"/>
  <c r="AY128" i="4"/>
  <c r="AZ128" i="4"/>
  <c r="BC128" i="4"/>
  <c r="BD128" i="4"/>
  <c r="BF128" i="4"/>
  <c r="BG128" i="4"/>
  <c r="BL128" i="4"/>
  <c r="BP128" i="4"/>
  <c r="BR128" i="4"/>
  <c r="BW128" i="4"/>
  <c r="BX127" i="5"/>
  <c r="CG128" i="4"/>
  <c r="CH128" i="4"/>
  <c r="B129" i="4"/>
  <c r="B128" i="5"/>
  <c r="C129" i="4"/>
  <c r="F129" i="4"/>
  <c r="F128" i="5"/>
  <c r="I129" i="4"/>
  <c r="I128" i="5"/>
  <c r="P129" i="4"/>
  <c r="Q129" i="4"/>
  <c r="S129" i="4"/>
  <c r="T129" i="4"/>
  <c r="V129" i="4"/>
  <c r="W129" i="4"/>
  <c r="Y129" i="4"/>
  <c r="Z129" i="4"/>
  <c r="AB129" i="4"/>
  <c r="AC129" i="4"/>
  <c r="AD129" i="4"/>
  <c r="AD128" i="5"/>
  <c r="AG129" i="4"/>
  <c r="AH129" i="4"/>
  <c r="AI129" i="4"/>
  <c r="AI128" i="5"/>
  <c r="AJ129" i="4"/>
  <c r="AJ128" i="5"/>
  <c r="AM129" i="4"/>
  <c r="AR129" i="4"/>
  <c r="AR128" i="5"/>
  <c r="AX129" i="4"/>
  <c r="BO128" i="5"/>
  <c r="AY129" i="4"/>
  <c r="AZ129" i="4"/>
  <c r="BA129" i="4"/>
  <c r="BB129" i="4"/>
  <c r="BL128" i="5"/>
  <c r="BF129" i="4"/>
  <c r="BG129" i="4"/>
  <c r="BL129" i="4"/>
  <c r="BP129" i="4"/>
  <c r="BR129" i="4"/>
  <c r="BW129" i="4"/>
  <c r="BX128" i="5"/>
  <c r="CG129" i="4"/>
  <c r="CH129" i="4"/>
  <c r="D130" i="4"/>
  <c r="E130" i="4"/>
  <c r="G130" i="4"/>
  <c r="H130" i="4"/>
  <c r="J130" i="4"/>
  <c r="K130" i="4"/>
  <c r="P130" i="4"/>
  <c r="S130" i="4"/>
  <c r="T130" i="4"/>
  <c r="V130" i="4"/>
  <c r="W130" i="4"/>
  <c r="Y130" i="4"/>
  <c r="Z130" i="4"/>
  <c r="AB130" i="4"/>
  <c r="AC130" i="4"/>
  <c r="AG130" i="4"/>
  <c r="AH130" i="4"/>
  <c r="AM130" i="4"/>
  <c r="AM129" i="5"/>
  <c r="AR130" i="4"/>
  <c r="AR129" i="5"/>
  <c r="AY130" i="4"/>
  <c r="AZ130" i="4"/>
  <c r="BC130" i="4"/>
  <c r="BD130" i="4"/>
  <c r="BF130" i="4"/>
  <c r="BG130" i="4"/>
  <c r="BL130" i="4"/>
  <c r="BU129" i="5"/>
  <c r="BP130" i="4"/>
  <c r="BR130" i="4"/>
  <c r="BW130" i="4"/>
  <c r="BX129" i="5"/>
  <c r="C131" i="4"/>
  <c r="C130" i="5"/>
  <c r="F131" i="4"/>
  <c r="F130" i="5"/>
  <c r="G131" i="4"/>
  <c r="I131" i="4"/>
  <c r="I130" i="5"/>
  <c r="L131" i="4"/>
  <c r="O131" i="4"/>
  <c r="O130" i="5"/>
  <c r="R131" i="4"/>
  <c r="R130" i="5"/>
  <c r="U131" i="4"/>
  <c r="U130" i="5"/>
  <c r="AB131" i="4"/>
  <c r="AC131" i="4"/>
  <c r="AG131" i="4"/>
  <c r="AH131" i="4"/>
  <c r="AI131" i="4"/>
  <c r="AI130" i="5"/>
  <c r="AJ131" i="4"/>
  <c r="AJ130" i="5"/>
  <c r="AM131" i="4"/>
  <c r="AM130" i="5"/>
  <c r="AR131" i="4"/>
  <c r="AR130" i="5"/>
  <c r="AY131" i="4"/>
  <c r="AZ131" i="4"/>
  <c r="BA131" i="4"/>
  <c r="BB131" i="4"/>
  <c r="BL130" i="5"/>
  <c r="BE142" i="4"/>
  <c r="AJ14" i="2"/>
  <c r="AJ8" i="3"/>
  <c r="BW131" i="4"/>
  <c r="BX130" i="5"/>
  <c r="BX131" i="4"/>
  <c r="BX142" i="4"/>
  <c r="B132" i="4"/>
  <c r="B131" i="5"/>
  <c r="C132" i="4"/>
  <c r="J132" i="4"/>
  <c r="K132" i="4"/>
  <c r="P132" i="4"/>
  <c r="Q132" i="4"/>
  <c r="S132" i="4"/>
  <c r="T132" i="4"/>
  <c r="V132" i="4"/>
  <c r="W132" i="4"/>
  <c r="Y132" i="4"/>
  <c r="Z132" i="4"/>
  <c r="AB132" i="4"/>
  <c r="AC132" i="4"/>
  <c r="AD132" i="4"/>
  <c r="AG132" i="4"/>
  <c r="AH132" i="4"/>
  <c r="AI132" i="4"/>
  <c r="AI131" i="5"/>
  <c r="AJ132" i="4"/>
  <c r="AJ131" i="5"/>
  <c r="AM132" i="4"/>
  <c r="AM131" i="5"/>
  <c r="AR132" i="4"/>
  <c r="AX132" i="4"/>
  <c r="BO131" i="5"/>
  <c r="BC132" i="4"/>
  <c r="BD132" i="4"/>
  <c r="BL132" i="4"/>
  <c r="BP132" i="4"/>
  <c r="BR132" i="4"/>
  <c r="BW132" i="4"/>
  <c r="BX131" i="5"/>
  <c r="CG132" i="4"/>
  <c r="CH132" i="4"/>
  <c r="D133" i="4"/>
  <c r="E133" i="4"/>
  <c r="G133" i="4"/>
  <c r="H133" i="4"/>
  <c r="J133" i="4"/>
  <c r="K133" i="4"/>
  <c r="P133" i="4"/>
  <c r="Q133" i="4"/>
  <c r="S133" i="4"/>
  <c r="T133" i="4"/>
  <c r="V133" i="4"/>
  <c r="W133" i="4"/>
  <c r="Y133" i="4"/>
  <c r="Z133" i="4"/>
  <c r="AB133" i="4"/>
  <c r="AC133" i="4"/>
  <c r="AG133" i="4"/>
  <c r="AH133" i="4"/>
  <c r="AM133" i="4"/>
  <c r="AM132" i="5"/>
  <c r="AR133" i="4"/>
  <c r="AR132" i="5"/>
  <c r="AY133" i="4"/>
  <c r="AZ133" i="4"/>
  <c r="BC133" i="4"/>
  <c r="BD133" i="4"/>
  <c r="BF133" i="4"/>
  <c r="BG133" i="4"/>
  <c r="BL133" i="4"/>
  <c r="BU132" i="5"/>
  <c r="BP133" i="4"/>
  <c r="BR133" i="4"/>
  <c r="BW133" i="4"/>
  <c r="BX132" i="5"/>
  <c r="CG133" i="4"/>
  <c r="CH133" i="4"/>
  <c r="B134" i="4"/>
  <c r="C134" i="4"/>
  <c r="C133" i="5"/>
  <c r="F134" i="4"/>
  <c r="I134" i="4"/>
  <c r="I133" i="5"/>
  <c r="P134" i="4"/>
  <c r="Q134" i="4"/>
  <c r="S134" i="4"/>
  <c r="T134" i="4"/>
  <c r="V134" i="4"/>
  <c r="W134" i="4"/>
  <c r="Y134" i="4"/>
  <c r="Z134" i="4"/>
  <c r="AB134" i="4"/>
  <c r="AC134" i="4"/>
  <c r="AG134" i="4"/>
  <c r="AH134" i="4"/>
  <c r="AI134" i="4"/>
  <c r="AI133" i="5"/>
  <c r="AJ134" i="4"/>
  <c r="AJ133" i="5"/>
  <c r="AM134" i="4"/>
  <c r="AM133" i="5"/>
  <c r="AR134" i="4"/>
  <c r="AR133" i="5"/>
  <c r="AX134" i="4"/>
  <c r="BO133" i="5"/>
  <c r="BA134" i="4"/>
  <c r="BB134" i="4"/>
  <c r="BL134" i="4"/>
  <c r="BU133" i="5"/>
  <c r="BP134" i="4"/>
  <c r="BR134" i="4"/>
  <c r="BW134" i="4"/>
  <c r="BX133" i="5"/>
  <c r="P135" i="4"/>
  <c r="S135" i="4"/>
  <c r="V135" i="4"/>
  <c r="Y135" i="4"/>
  <c r="AB135" i="4"/>
  <c r="AC135" i="4"/>
  <c r="AG135" i="4"/>
  <c r="AH135" i="4"/>
  <c r="AM135" i="4"/>
  <c r="AM134" i="5"/>
  <c r="AR135" i="4"/>
  <c r="AR134" i="5"/>
  <c r="AY135" i="4"/>
  <c r="AZ135" i="4"/>
  <c r="BC135" i="4"/>
  <c r="BD135" i="4"/>
  <c r="BF135" i="4"/>
  <c r="BG135" i="4"/>
  <c r="BL135" i="4"/>
  <c r="BU134" i="5"/>
  <c r="BV134" i="5"/>
  <c r="BP135" i="4"/>
  <c r="BR135" i="4"/>
  <c r="BW135" i="4"/>
  <c r="BX134" i="5"/>
  <c r="CG135" i="4"/>
  <c r="CH135" i="4"/>
  <c r="C136" i="4"/>
  <c r="F136" i="4"/>
  <c r="F135" i="5"/>
  <c r="I136" i="4"/>
  <c r="I135" i="5"/>
  <c r="AR136" i="4"/>
  <c r="AS136" i="4"/>
  <c r="AT136" i="4"/>
  <c r="AU136" i="4"/>
  <c r="AY136" i="4"/>
  <c r="AZ136" i="4"/>
  <c r="BU135" i="5"/>
  <c r="BX135" i="5"/>
  <c r="CG136" i="4"/>
  <c r="CH136" i="4"/>
  <c r="Y137" i="4"/>
  <c r="Z137" i="4"/>
  <c r="AB137" i="4"/>
  <c r="AC137" i="4"/>
  <c r="AG137" i="4"/>
  <c r="AH137" i="4"/>
  <c r="AI137" i="4"/>
  <c r="AI136" i="5"/>
  <c r="AJ137" i="4"/>
  <c r="AJ136" i="5"/>
  <c r="AM137" i="4"/>
  <c r="AM136" i="5"/>
  <c r="AR137" i="4"/>
  <c r="AR136" i="5"/>
  <c r="AT136" i="5"/>
  <c r="AX137" i="4"/>
  <c r="BO136" i="5"/>
  <c r="BA137" i="4"/>
  <c r="BB137" i="4"/>
  <c r="BL137" i="4"/>
  <c r="BU136" i="5"/>
  <c r="BP137" i="4"/>
  <c r="BR137" i="4"/>
  <c r="BW137" i="4"/>
  <c r="BX136" i="5"/>
  <c r="Y138" i="4"/>
  <c r="AB138" i="4"/>
  <c r="AG138" i="4"/>
  <c r="AH138" i="4"/>
  <c r="AI138" i="4"/>
  <c r="AI137" i="5"/>
  <c r="AJ138" i="4"/>
  <c r="AJ137" i="5"/>
  <c r="AM138" i="4"/>
  <c r="AM137" i="5"/>
  <c r="AR138" i="4"/>
  <c r="AR137" i="5"/>
  <c r="AY138" i="4"/>
  <c r="AZ138" i="4"/>
  <c r="BC138" i="4"/>
  <c r="BD138" i="4"/>
  <c r="BF138" i="4"/>
  <c r="BG138" i="4"/>
  <c r="BL138" i="4"/>
  <c r="BU137" i="5"/>
  <c r="BP138" i="4"/>
  <c r="BR138" i="4"/>
  <c r="BW138" i="4"/>
  <c r="BX137" i="5"/>
  <c r="Y139" i="4"/>
  <c r="AB139" i="4"/>
  <c r="AC139" i="4"/>
  <c r="AG139" i="4"/>
  <c r="AH139" i="4"/>
  <c r="AI139" i="4"/>
  <c r="AI138" i="5"/>
  <c r="AJ139" i="4"/>
  <c r="AJ138" i="5"/>
  <c r="AM139" i="4"/>
  <c r="AM138" i="5"/>
  <c r="AR139" i="4"/>
  <c r="AY139" i="4"/>
  <c r="AZ139" i="4"/>
  <c r="BC139" i="4"/>
  <c r="BD139" i="4"/>
  <c r="BF139" i="4"/>
  <c r="BG139" i="4"/>
  <c r="BL139" i="4"/>
  <c r="BU138" i="5"/>
  <c r="BP139" i="4"/>
  <c r="BR139" i="4"/>
  <c r="BW139" i="4"/>
  <c r="BX138" i="5"/>
  <c r="CG139" i="4"/>
  <c r="CH139" i="4"/>
  <c r="Y140" i="4"/>
  <c r="AB140" i="4"/>
  <c r="AC140" i="4"/>
  <c r="AG140" i="4"/>
  <c r="AH140" i="4"/>
  <c r="AM140" i="4"/>
  <c r="AM139" i="5"/>
  <c r="AR140" i="4"/>
  <c r="AY140" i="4"/>
  <c r="AZ140" i="4"/>
  <c r="BC140" i="4"/>
  <c r="BD140" i="4"/>
  <c r="BF140" i="4"/>
  <c r="BG140" i="4"/>
  <c r="BL140" i="4"/>
  <c r="BU139" i="5"/>
  <c r="BV139" i="5"/>
  <c r="BP140" i="4"/>
  <c r="BR140" i="4"/>
  <c r="BW140" i="4"/>
  <c r="BX139" i="5"/>
  <c r="BZ140" i="4"/>
  <c r="BF141" i="4"/>
  <c r="BG141" i="4"/>
  <c r="BW141" i="4"/>
  <c r="BX140" i="5"/>
  <c r="X142" i="4"/>
  <c r="X14" i="2"/>
  <c r="AA142" i="4"/>
  <c r="AA14" i="2"/>
  <c r="AE142" i="4"/>
  <c r="AF142" i="4"/>
  <c r="AD14" i="2"/>
  <c r="AD8" i="3"/>
  <c r="AK142" i="4"/>
  <c r="AN142" i="4"/>
  <c r="AO142" i="4"/>
  <c r="AP142" i="4"/>
  <c r="AQ142" i="4"/>
  <c r="BH142" i="4"/>
  <c r="BK142" i="4"/>
  <c r="BN142" i="4"/>
  <c r="BO142" i="4"/>
  <c r="CC142" i="4"/>
  <c r="AD143" i="4"/>
  <c r="AD142" i="5"/>
  <c r="BP143" i="4"/>
  <c r="BR143" i="4"/>
  <c r="BW143" i="4"/>
  <c r="BP144" i="4"/>
  <c r="BR144" i="4"/>
  <c r="BW144" i="4"/>
  <c r="BP145" i="4"/>
  <c r="BR145" i="4"/>
  <c r="BW145" i="4"/>
  <c r="BP146" i="4"/>
  <c r="BR146" i="4"/>
  <c r="BW146" i="4"/>
  <c r="BP147" i="4"/>
  <c r="BR147" i="4"/>
  <c r="BW147" i="4"/>
  <c r="BP148" i="4"/>
  <c r="BR148" i="4"/>
  <c r="BW148" i="4"/>
  <c r="BP149" i="4"/>
  <c r="BR149" i="4"/>
  <c r="BW149" i="4"/>
  <c r="BP150" i="4"/>
  <c r="BR150" i="4"/>
  <c r="BW150" i="4"/>
  <c r="BP151" i="4"/>
  <c r="BR151" i="4"/>
  <c r="BW151" i="4"/>
  <c r="BP152" i="4"/>
  <c r="BR152" i="4"/>
  <c r="BW152" i="4"/>
  <c r="BP153" i="4"/>
  <c r="BR153" i="4"/>
  <c r="BW153" i="4"/>
  <c r="BP154" i="4"/>
  <c r="BR154" i="4"/>
  <c r="B155" i="4"/>
  <c r="B154" i="5"/>
  <c r="C155" i="4"/>
  <c r="C154" i="5"/>
  <c r="F155" i="4"/>
  <c r="I155" i="4"/>
  <c r="L155" i="4"/>
  <c r="L154" i="5"/>
  <c r="O155" i="4"/>
  <c r="R155" i="4"/>
  <c r="R154" i="5"/>
  <c r="U155" i="4"/>
  <c r="U154" i="5"/>
  <c r="AB155" i="4"/>
  <c r="AC155" i="4"/>
  <c r="AG155" i="4"/>
  <c r="AH155" i="4"/>
  <c r="AI155" i="4"/>
  <c r="AI154" i="5"/>
  <c r="AJ155" i="4"/>
  <c r="AJ154" i="5"/>
  <c r="AM155" i="4"/>
  <c r="AR155" i="4"/>
  <c r="AR154" i="5"/>
  <c r="AX155" i="4"/>
  <c r="BO154" i="5"/>
  <c r="BA155" i="4"/>
  <c r="BB155" i="4"/>
  <c r="BL154" i="5"/>
  <c r="BL155" i="4"/>
  <c r="BP155" i="4"/>
  <c r="BR155" i="4"/>
  <c r="BW155" i="4"/>
  <c r="BX154" i="5"/>
  <c r="B156" i="4"/>
  <c r="B155" i="5"/>
  <c r="C156" i="4"/>
  <c r="C155" i="5"/>
  <c r="F156" i="4"/>
  <c r="F155" i="5"/>
  <c r="I156" i="4"/>
  <c r="I155" i="5"/>
  <c r="P156" i="4"/>
  <c r="Q156" i="4"/>
  <c r="S156" i="4"/>
  <c r="T156" i="4"/>
  <c r="V156" i="4"/>
  <c r="W156" i="4"/>
  <c r="Y156" i="4"/>
  <c r="Z156" i="4"/>
  <c r="AB156" i="4"/>
  <c r="AC156" i="4"/>
  <c r="AG156" i="4"/>
  <c r="AH156" i="4"/>
  <c r="AI156" i="4"/>
  <c r="AI155" i="5"/>
  <c r="AJ156" i="4"/>
  <c r="AJ155" i="5"/>
  <c r="AM156" i="4"/>
  <c r="AM155" i="5"/>
  <c r="AR156" i="4"/>
  <c r="AY156" i="4"/>
  <c r="AZ156" i="4"/>
  <c r="BA156" i="4"/>
  <c r="BB156" i="4"/>
  <c r="BC156" i="4"/>
  <c r="BD156" i="4"/>
  <c r="BL155" i="5"/>
  <c r="BF156" i="4"/>
  <c r="BG156" i="4"/>
  <c r="BL156" i="4"/>
  <c r="BU155" i="5"/>
  <c r="BP156" i="4"/>
  <c r="BR156" i="4"/>
  <c r="BW156" i="4"/>
  <c r="BX155" i="5"/>
  <c r="CG156" i="4"/>
  <c r="CH156" i="4"/>
  <c r="B157" i="4"/>
  <c r="B156" i="5"/>
  <c r="C157" i="4"/>
  <c r="C156" i="5"/>
  <c r="F157" i="4"/>
  <c r="F156" i="5"/>
  <c r="I157" i="4"/>
  <c r="I156" i="5"/>
  <c r="P157" i="4"/>
  <c r="Q157" i="4"/>
  <c r="R157" i="4"/>
  <c r="R156" i="5"/>
  <c r="U157" i="4"/>
  <c r="U156" i="5"/>
  <c r="X157" i="4"/>
  <c r="X156" i="5"/>
  <c r="AA157" i="4"/>
  <c r="AA156" i="5"/>
  <c r="AF157" i="4"/>
  <c r="AF156" i="5"/>
  <c r="AI157" i="4"/>
  <c r="AI156" i="5"/>
  <c r="AM157" i="4"/>
  <c r="AM156" i="5"/>
  <c r="AR157" i="4"/>
  <c r="AR156" i="5"/>
  <c r="BA157" i="4"/>
  <c r="BB157" i="4"/>
  <c r="BC157" i="4"/>
  <c r="BD157" i="4"/>
  <c r="BL156" i="5"/>
  <c r="BR156" i="5"/>
  <c r="BW157" i="4"/>
  <c r="BX156" i="5"/>
  <c r="BX157" i="4"/>
  <c r="AG158" i="4"/>
  <c r="AH158" i="4"/>
  <c r="AM158" i="4"/>
  <c r="AM157" i="5"/>
  <c r="AR158" i="4"/>
  <c r="AR157" i="5"/>
  <c r="AY158" i="4"/>
  <c r="AZ158" i="4"/>
  <c r="BC158" i="4"/>
  <c r="BF158" i="4"/>
  <c r="BG158" i="4"/>
  <c r="BL158" i="4"/>
  <c r="BU157" i="5"/>
  <c r="BP158" i="4"/>
  <c r="BR158" i="4"/>
  <c r="BW158" i="4"/>
  <c r="BX157" i="5"/>
  <c r="CG158" i="4"/>
  <c r="CH158" i="4"/>
  <c r="B159" i="4"/>
  <c r="B158" i="5"/>
  <c r="C159" i="4"/>
  <c r="C158" i="5"/>
  <c r="F159" i="4"/>
  <c r="I159" i="4"/>
  <c r="L159" i="4"/>
  <c r="L158" i="5"/>
  <c r="O159" i="4"/>
  <c r="R159" i="4"/>
  <c r="U159" i="4"/>
  <c r="U158" i="5"/>
  <c r="X159" i="4"/>
  <c r="X158" i="5"/>
  <c r="AA159" i="4"/>
  <c r="AA158" i="5"/>
  <c r="AF159" i="4"/>
  <c r="AF158" i="5"/>
  <c r="AI159" i="4"/>
  <c r="AI158" i="5"/>
  <c r="AM159" i="4"/>
  <c r="AM158" i="5"/>
  <c r="AR159" i="4"/>
  <c r="AR158" i="5"/>
  <c r="AY159" i="4"/>
  <c r="AZ159" i="4"/>
  <c r="BA159" i="4"/>
  <c r="BB159" i="4"/>
  <c r="BL158" i="5"/>
  <c r="BR158" i="5"/>
  <c r="BL159" i="4"/>
  <c r="BW159" i="4"/>
  <c r="BX158" i="5"/>
  <c r="BX159" i="4"/>
  <c r="CG159" i="4"/>
  <c r="CH159" i="4"/>
  <c r="B160" i="4"/>
  <c r="B159" i="5"/>
  <c r="C160" i="4"/>
  <c r="C159" i="5"/>
  <c r="F160" i="4"/>
  <c r="F159" i="5"/>
  <c r="I160" i="4"/>
  <c r="I159" i="5"/>
  <c r="P160" i="4"/>
  <c r="Q160" i="4"/>
  <c r="S160" i="4"/>
  <c r="T160" i="4"/>
  <c r="V160" i="4"/>
  <c r="W160" i="4"/>
  <c r="Y160" i="4"/>
  <c r="Z160" i="4"/>
  <c r="AB160" i="4"/>
  <c r="AC160" i="4"/>
  <c r="AG160" i="4"/>
  <c r="AH160" i="4"/>
  <c r="AI160" i="4"/>
  <c r="AI159" i="5"/>
  <c r="AJ160" i="4"/>
  <c r="AJ159" i="5"/>
  <c r="AM160" i="4"/>
  <c r="AM159" i="5"/>
  <c r="AR160" i="4"/>
  <c r="AR159" i="5"/>
  <c r="AX160" i="4"/>
  <c r="BO159" i="5"/>
  <c r="BR159" i="5"/>
  <c r="BS159" i="5"/>
  <c r="BT159" i="5"/>
  <c r="BA160" i="4"/>
  <c r="BB160" i="4"/>
  <c r="BL159" i="5"/>
  <c r="BE160" i="4"/>
  <c r="BH160" i="4"/>
  <c r="BN160" i="4"/>
  <c r="BW160" i="4"/>
  <c r="BO160" i="4"/>
  <c r="BO176" i="4"/>
  <c r="BX160" i="4"/>
  <c r="CC160" i="4"/>
  <c r="B161" i="4"/>
  <c r="B160" i="5"/>
  <c r="C161" i="4"/>
  <c r="C160" i="5"/>
  <c r="F161" i="4"/>
  <c r="F160" i="5"/>
  <c r="P161" i="4"/>
  <c r="Q161" i="4"/>
  <c r="S161" i="4"/>
  <c r="T161" i="4"/>
  <c r="V161" i="4"/>
  <c r="W161" i="4"/>
  <c r="Y161" i="4"/>
  <c r="Z161" i="4"/>
  <c r="AB161" i="4"/>
  <c r="AC161" i="4"/>
  <c r="AG161" i="4"/>
  <c r="AH161" i="4"/>
  <c r="AI161" i="4"/>
  <c r="AI160" i="5"/>
  <c r="AJ161" i="4"/>
  <c r="AJ160" i="5"/>
  <c r="AM161" i="4"/>
  <c r="AM160" i="5"/>
  <c r="AR161" i="4"/>
  <c r="AR160" i="5"/>
  <c r="AT160" i="5"/>
  <c r="AU160" i="5"/>
  <c r="AY161" i="4"/>
  <c r="AZ161" i="4"/>
  <c r="BC161" i="4"/>
  <c r="BD161" i="4"/>
  <c r="BF161" i="4"/>
  <c r="BG161" i="4"/>
  <c r="BL161" i="4"/>
  <c r="BP161" i="4"/>
  <c r="BR161" i="4"/>
  <c r="BW161" i="4"/>
  <c r="BX160" i="5"/>
  <c r="CG161" i="4"/>
  <c r="CH161" i="4"/>
  <c r="D162" i="4"/>
  <c r="E162" i="4"/>
  <c r="G162" i="4"/>
  <c r="H162" i="4"/>
  <c r="J162" i="4"/>
  <c r="K162" i="4"/>
  <c r="P162" i="4"/>
  <c r="Q162" i="4"/>
  <c r="S162" i="4"/>
  <c r="T162" i="4"/>
  <c r="V162" i="4"/>
  <c r="W162" i="4"/>
  <c r="Y162" i="4"/>
  <c r="Z162" i="4"/>
  <c r="AB162" i="4"/>
  <c r="AC162" i="4"/>
  <c r="AG162" i="4"/>
  <c r="AH162" i="4"/>
  <c r="AI162" i="4"/>
  <c r="AI161" i="5"/>
  <c r="AJ162" i="4"/>
  <c r="AJ161" i="5"/>
  <c r="AM162" i="4"/>
  <c r="AM161" i="5"/>
  <c r="AR162" i="4"/>
  <c r="AR161" i="5"/>
  <c r="AT161" i="5"/>
  <c r="AY162" i="4"/>
  <c r="AZ162" i="4"/>
  <c r="BC162" i="4"/>
  <c r="BD162" i="4"/>
  <c r="BF162" i="4"/>
  <c r="BG162" i="4"/>
  <c r="BL162" i="4"/>
  <c r="BU161" i="5"/>
  <c r="BV161" i="5"/>
  <c r="BP162" i="4"/>
  <c r="BR162" i="4"/>
  <c r="BW162" i="4"/>
  <c r="BX161" i="5"/>
  <c r="CG162" i="4"/>
  <c r="CH162" i="4"/>
  <c r="D163" i="4"/>
  <c r="E163" i="4"/>
  <c r="G163" i="4"/>
  <c r="H163" i="4"/>
  <c r="J163" i="4"/>
  <c r="K163" i="4"/>
  <c r="P163" i="4"/>
  <c r="Q163" i="4"/>
  <c r="S163" i="4"/>
  <c r="T163" i="4"/>
  <c r="V163" i="4"/>
  <c r="W163" i="4"/>
  <c r="Y163" i="4"/>
  <c r="Z163" i="4"/>
  <c r="AB163" i="4"/>
  <c r="AC163" i="4"/>
  <c r="AG163" i="4"/>
  <c r="AH163" i="4"/>
  <c r="AI163" i="4"/>
  <c r="AI162" i="5"/>
  <c r="AJ163" i="4"/>
  <c r="AJ162" i="5"/>
  <c r="AM163" i="4"/>
  <c r="AM162" i="5"/>
  <c r="AR163" i="4"/>
  <c r="AR162" i="5"/>
  <c r="AY163" i="4"/>
  <c r="AZ163" i="4"/>
  <c r="BC163" i="4"/>
  <c r="BD163" i="4"/>
  <c r="BF163" i="4"/>
  <c r="BG163" i="4"/>
  <c r="BL163" i="4"/>
  <c r="BU162" i="5"/>
  <c r="BV162" i="5"/>
  <c r="BP163" i="4"/>
  <c r="BR163" i="4"/>
  <c r="BW163" i="4"/>
  <c r="BX162" i="5"/>
  <c r="CG163" i="4"/>
  <c r="CH163" i="4"/>
  <c r="D164" i="4"/>
  <c r="E164" i="4"/>
  <c r="G164" i="4"/>
  <c r="H164" i="4"/>
  <c r="J164" i="4"/>
  <c r="K164" i="4"/>
  <c r="P164" i="4"/>
  <c r="Q164" i="4"/>
  <c r="S164" i="4"/>
  <c r="T164" i="4"/>
  <c r="V164" i="4"/>
  <c r="W164" i="4"/>
  <c r="Y164" i="4"/>
  <c r="Z164" i="4"/>
  <c r="AB164" i="4"/>
  <c r="AC164" i="4"/>
  <c r="AG164" i="4"/>
  <c r="AH164" i="4"/>
  <c r="AI164" i="4"/>
  <c r="AI163" i="5"/>
  <c r="AJ164" i="4"/>
  <c r="AJ163" i="5"/>
  <c r="AM164" i="4"/>
  <c r="AM163" i="5"/>
  <c r="AR164" i="4"/>
  <c r="AY164" i="4"/>
  <c r="AZ164" i="4"/>
  <c r="BC164" i="4"/>
  <c r="BD164" i="4"/>
  <c r="BF164" i="4"/>
  <c r="BG164" i="4"/>
  <c r="BL164" i="4"/>
  <c r="BU163" i="5"/>
  <c r="BP164" i="4"/>
  <c r="BR164" i="4"/>
  <c r="BW164" i="4"/>
  <c r="BX163" i="5"/>
  <c r="CG164" i="4"/>
  <c r="CH164" i="4"/>
  <c r="D165" i="4"/>
  <c r="E165" i="4"/>
  <c r="G165" i="4"/>
  <c r="H165" i="4"/>
  <c r="J165" i="4"/>
  <c r="K165" i="4"/>
  <c r="P165" i="4"/>
  <c r="Q165" i="4"/>
  <c r="S165" i="4"/>
  <c r="T165" i="4"/>
  <c r="V165" i="4"/>
  <c r="W165" i="4"/>
  <c r="Y165" i="4"/>
  <c r="Z165" i="4"/>
  <c r="AB165" i="4"/>
  <c r="AC165" i="4"/>
  <c r="AG165" i="4"/>
  <c r="AH165" i="4"/>
  <c r="AI165" i="4"/>
  <c r="AI164" i="5"/>
  <c r="AJ165" i="4"/>
  <c r="AJ164" i="5"/>
  <c r="AM165" i="4"/>
  <c r="AM164" i="5"/>
  <c r="AR165" i="4"/>
  <c r="AR164" i="5"/>
  <c r="AT164" i="5"/>
  <c r="AU164" i="5"/>
  <c r="AY165" i="4"/>
  <c r="AZ165" i="4"/>
  <c r="BC165" i="4"/>
  <c r="BD165" i="4"/>
  <c r="BF165" i="4"/>
  <c r="BG165" i="4"/>
  <c r="BL165" i="4"/>
  <c r="BU164" i="5"/>
  <c r="BV164" i="5"/>
  <c r="BP165" i="4"/>
  <c r="BR165" i="4"/>
  <c r="BW165" i="4"/>
  <c r="CG165" i="4"/>
  <c r="CH165" i="4"/>
  <c r="D166" i="4"/>
  <c r="E166" i="4"/>
  <c r="F166" i="4"/>
  <c r="F165" i="5"/>
  <c r="I166" i="4"/>
  <c r="I165" i="5"/>
  <c r="P166" i="4"/>
  <c r="Q166" i="4"/>
  <c r="S166" i="4"/>
  <c r="T166" i="4"/>
  <c r="V166" i="4"/>
  <c r="W166" i="4"/>
  <c r="Y166" i="4"/>
  <c r="Z166" i="4"/>
  <c r="AB166" i="4"/>
  <c r="AC166" i="4"/>
  <c r="AG166" i="4"/>
  <c r="AH166" i="4"/>
  <c r="AM166" i="4"/>
  <c r="AM165" i="5"/>
  <c r="AR166" i="4"/>
  <c r="AR165" i="5"/>
  <c r="AY166" i="4"/>
  <c r="AZ166" i="4"/>
  <c r="BC166" i="4"/>
  <c r="BF166" i="4"/>
  <c r="BG166" i="4"/>
  <c r="BL166" i="4"/>
  <c r="BU165" i="5"/>
  <c r="BV165" i="5"/>
  <c r="BP166" i="4"/>
  <c r="BR166" i="4"/>
  <c r="BW166" i="4"/>
  <c r="BZ166" i="4"/>
  <c r="D167" i="4"/>
  <c r="G167" i="4"/>
  <c r="H167" i="4"/>
  <c r="J167" i="4"/>
  <c r="K167" i="4"/>
  <c r="P167" i="4"/>
  <c r="Q167" i="4"/>
  <c r="S167" i="4"/>
  <c r="T167" i="4"/>
  <c r="V167" i="4"/>
  <c r="W167" i="4"/>
  <c r="Y167" i="4"/>
  <c r="Z167" i="4"/>
  <c r="AB167" i="4"/>
  <c r="AC167" i="4"/>
  <c r="AG167" i="4"/>
  <c r="AH167" i="4"/>
  <c r="AM167" i="4"/>
  <c r="AM166" i="5"/>
  <c r="AR167" i="4"/>
  <c r="AY167" i="4"/>
  <c r="AZ167" i="4"/>
  <c r="BC167" i="4"/>
  <c r="BD167" i="4"/>
  <c r="BF167" i="4"/>
  <c r="BG167" i="4"/>
  <c r="BL167" i="4"/>
  <c r="BP167" i="4"/>
  <c r="BR167" i="4"/>
  <c r="D168" i="4"/>
  <c r="G168" i="4"/>
  <c r="J168" i="4"/>
  <c r="K168" i="4"/>
  <c r="P168" i="4"/>
  <c r="Q168" i="4"/>
  <c r="S168" i="4"/>
  <c r="T168" i="4"/>
  <c r="V168" i="4"/>
  <c r="W168" i="4"/>
  <c r="Y168" i="4"/>
  <c r="Z168" i="4"/>
  <c r="AB168" i="4"/>
  <c r="AC168" i="4"/>
  <c r="AG168" i="4"/>
  <c r="AH168" i="4"/>
  <c r="AM168" i="4"/>
  <c r="AM167" i="5"/>
  <c r="AR168" i="4"/>
  <c r="AR167" i="5"/>
  <c r="AY168" i="4"/>
  <c r="AZ168" i="4"/>
  <c r="BC168" i="4"/>
  <c r="BD168" i="4"/>
  <c r="BF168" i="4"/>
  <c r="BG168" i="4"/>
  <c r="BL168" i="4"/>
  <c r="BU167" i="5"/>
  <c r="BP168" i="4"/>
  <c r="BR168" i="4"/>
  <c r="BW168" i="4"/>
  <c r="BX167" i="5"/>
  <c r="CG168" i="4"/>
  <c r="CH168" i="4"/>
  <c r="D169" i="4"/>
  <c r="G169" i="4"/>
  <c r="J169" i="4"/>
  <c r="K169" i="4"/>
  <c r="P169" i="4"/>
  <c r="Q169" i="4"/>
  <c r="S169" i="4"/>
  <c r="T169" i="4"/>
  <c r="V169" i="4"/>
  <c r="W169" i="4"/>
  <c r="Y169" i="4"/>
  <c r="Z169" i="4"/>
  <c r="AB169" i="4"/>
  <c r="AC169" i="4"/>
  <c r="AG169" i="4"/>
  <c r="AH169" i="4"/>
  <c r="AM169" i="4"/>
  <c r="AM168" i="5"/>
  <c r="AR169" i="4"/>
  <c r="AR168" i="5"/>
  <c r="AT168" i="5"/>
  <c r="AU168" i="5"/>
  <c r="AY169" i="4"/>
  <c r="AZ169" i="4"/>
  <c r="BC169" i="4"/>
  <c r="BD169" i="4"/>
  <c r="BF169" i="4"/>
  <c r="BG169" i="4"/>
  <c r="BL169" i="4"/>
  <c r="BU168" i="5"/>
  <c r="BV168" i="5"/>
  <c r="BP169" i="4"/>
  <c r="BR169" i="4"/>
  <c r="BW169" i="4"/>
  <c r="D170" i="4"/>
  <c r="E170" i="4"/>
  <c r="G170" i="4"/>
  <c r="H170" i="4"/>
  <c r="J170" i="4"/>
  <c r="K170" i="4"/>
  <c r="M170" i="4"/>
  <c r="N170" i="4"/>
  <c r="P170" i="4"/>
  <c r="Q170" i="4"/>
  <c r="S170" i="4"/>
  <c r="T170" i="4"/>
  <c r="V170" i="4"/>
  <c r="W170" i="4"/>
  <c r="Y170" i="4"/>
  <c r="Z170" i="4"/>
  <c r="AB170" i="4"/>
  <c r="AC170" i="4"/>
  <c r="AG170" i="4"/>
  <c r="AH170" i="4"/>
  <c r="AI170" i="4"/>
  <c r="AI169" i="5"/>
  <c r="AJ170" i="4"/>
  <c r="AJ169" i="5"/>
  <c r="AM170" i="4"/>
  <c r="AM169" i="5"/>
  <c r="AR170" i="4"/>
  <c r="AR169" i="5"/>
  <c r="AX170" i="4"/>
  <c r="BO169" i="5"/>
  <c r="BC170" i="4"/>
  <c r="BD170" i="4"/>
  <c r="BL170" i="4"/>
  <c r="BU169" i="5"/>
  <c r="BP170" i="4"/>
  <c r="BR170" i="4"/>
  <c r="BW170" i="4"/>
  <c r="BX169" i="5"/>
  <c r="CG170" i="4"/>
  <c r="CH170" i="4"/>
  <c r="D171" i="4"/>
  <c r="E171" i="4"/>
  <c r="G171" i="4"/>
  <c r="H171" i="4"/>
  <c r="J171" i="4"/>
  <c r="K171" i="4"/>
  <c r="M171" i="4"/>
  <c r="N171" i="4"/>
  <c r="P171" i="4"/>
  <c r="Q171" i="4"/>
  <c r="S171" i="4"/>
  <c r="T171" i="4"/>
  <c r="V171" i="4"/>
  <c r="W171" i="4"/>
  <c r="Y171" i="4"/>
  <c r="Z171" i="4"/>
  <c r="AB171" i="4"/>
  <c r="AC171" i="4"/>
  <c r="AG171" i="4"/>
  <c r="AH171" i="4"/>
  <c r="AI171" i="4"/>
  <c r="AI170" i="5"/>
  <c r="AJ171" i="4"/>
  <c r="AJ170" i="5"/>
  <c r="AM171" i="4"/>
  <c r="AM170" i="5"/>
  <c r="AR171" i="4"/>
  <c r="AY171" i="4"/>
  <c r="AZ171" i="4"/>
  <c r="BA171" i="4"/>
  <c r="BB171" i="4"/>
  <c r="BL170" i="5"/>
  <c r="BF171" i="4"/>
  <c r="BG171" i="4"/>
  <c r="BL171" i="4"/>
  <c r="BU170" i="5"/>
  <c r="BP171" i="4"/>
  <c r="BR171" i="4"/>
  <c r="BW171" i="4"/>
  <c r="BX170" i="5"/>
  <c r="CG171" i="4"/>
  <c r="CH171" i="4"/>
  <c r="D172" i="4"/>
  <c r="E172" i="4"/>
  <c r="G172" i="4"/>
  <c r="H172" i="4"/>
  <c r="J172" i="4"/>
  <c r="K172" i="4"/>
  <c r="M172" i="4"/>
  <c r="N172" i="4"/>
  <c r="P172" i="4"/>
  <c r="Q172" i="4"/>
  <c r="S172" i="4"/>
  <c r="T172" i="4"/>
  <c r="V172" i="4"/>
  <c r="W172" i="4"/>
  <c r="Y172" i="4"/>
  <c r="Z172" i="4"/>
  <c r="AA172" i="4"/>
  <c r="AE172" i="4"/>
  <c r="AE171" i="5"/>
  <c r="AF172" i="4"/>
  <c r="AJ172" i="4"/>
  <c r="AJ171" i="5"/>
  <c r="AI172" i="4"/>
  <c r="AI171" i="5"/>
  <c r="AM172" i="4"/>
  <c r="AM171" i="5"/>
  <c r="AN172" i="4"/>
  <c r="AN171" i="5"/>
  <c r="AO172" i="4"/>
  <c r="AO171" i="5"/>
  <c r="AZ171" i="5"/>
  <c r="AR172" i="4"/>
  <c r="AR171" i="5"/>
  <c r="AX172" i="4"/>
  <c r="BO171" i="5"/>
  <c r="BA172" i="4"/>
  <c r="BB172" i="4"/>
  <c r="BL172" i="4"/>
  <c r="BP172" i="4"/>
  <c r="BR172" i="4"/>
  <c r="BW172" i="4"/>
  <c r="CG172" i="4"/>
  <c r="CH172" i="4"/>
  <c r="AS174" i="4"/>
  <c r="BC174" i="4"/>
  <c r="BD174" i="4"/>
  <c r="BP174" i="4"/>
  <c r="BR174" i="4"/>
  <c r="BW174" i="4"/>
  <c r="BZ174" i="4"/>
  <c r="P175" i="4"/>
  <c r="Q175" i="4"/>
  <c r="S175" i="4"/>
  <c r="V175" i="4"/>
  <c r="Y175" i="4"/>
  <c r="Z175" i="4"/>
  <c r="AG175" i="4"/>
  <c r="AH175" i="4"/>
  <c r="AM175" i="4"/>
  <c r="AM172" i="5"/>
  <c r="AR175" i="4"/>
  <c r="AY175" i="4"/>
  <c r="AZ175" i="4"/>
  <c r="BC175" i="4"/>
  <c r="BF175" i="4"/>
  <c r="BG175" i="4"/>
  <c r="BL175" i="4"/>
  <c r="BP175" i="4"/>
  <c r="BR175" i="4"/>
  <c r="BW175" i="4"/>
  <c r="BX173" i="5"/>
  <c r="BZ175" i="4"/>
  <c r="CG175" i="4"/>
  <c r="CH175" i="4"/>
  <c r="AD176" i="4"/>
  <c r="AD174" i="5"/>
  <c r="AK176" i="4"/>
  <c r="AL176" i="4"/>
  <c r="AO176" i="4"/>
  <c r="AP176" i="4"/>
  <c r="AQ176" i="4"/>
  <c r="BH176" i="4"/>
  <c r="BK176" i="4"/>
  <c r="BN176" i="4"/>
  <c r="CC176" i="4"/>
  <c r="BP179" i="4"/>
  <c r="BR179" i="4"/>
  <c r="BW179" i="4"/>
  <c r="BP180" i="4"/>
  <c r="BR180" i="4"/>
  <c r="BW180" i="4"/>
  <c r="BP181" i="4"/>
  <c r="BR181" i="4"/>
  <c r="BW181" i="4"/>
  <c r="BP182" i="4"/>
  <c r="BR182" i="4"/>
  <c r="BW182" i="4"/>
  <c r="BP183" i="4"/>
  <c r="BR183" i="4"/>
  <c r="BW183" i="4"/>
  <c r="BP184" i="4"/>
  <c r="BR184" i="4"/>
  <c r="BW184" i="4"/>
  <c r="BP185" i="4"/>
  <c r="BR185" i="4"/>
  <c r="BW185" i="4"/>
  <c r="BP186" i="4"/>
  <c r="BR186" i="4"/>
  <c r="BW186" i="4"/>
  <c r="BP187" i="4"/>
  <c r="BR187" i="4"/>
  <c r="BW187" i="4"/>
  <c r="BP190" i="4"/>
  <c r="BR190" i="4"/>
  <c r="D191" i="4"/>
  <c r="G191" i="4"/>
  <c r="I191" i="4"/>
  <c r="I187" i="5"/>
  <c r="P191" i="4"/>
  <c r="Q191" i="4"/>
  <c r="S191" i="4"/>
  <c r="T191" i="4"/>
  <c r="V191" i="4"/>
  <c r="W191" i="4"/>
  <c r="Y191" i="4"/>
  <c r="Z191" i="4"/>
  <c r="AB191" i="4"/>
  <c r="AC191" i="4"/>
  <c r="AG191" i="4"/>
  <c r="AH191" i="4"/>
  <c r="AI191" i="4"/>
  <c r="AI187" i="5"/>
  <c r="AJ191" i="4"/>
  <c r="AJ187" i="5"/>
  <c r="AM191" i="4"/>
  <c r="AM187" i="5"/>
  <c r="AX191" i="4"/>
  <c r="BO187" i="5"/>
  <c r="AY191" i="4"/>
  <c r="AZ191" i="4"/>
  <c r="BA191" i="4"/>
  <c r="BB191" i="4"/>
  <c r="BL187" i="5"/>
  <c r="BF191" i="4"/>
  <c r="BG191" i="4"/>
  <c r="BL191" i="4"/>
  <c r="BP191" i="4"/>
  <c r="BR191" i="4"/>
  <c r="BW191" i="4"/>
  <c r="BX187" i="5"/>
  <c r="BY191" i="4"/>
  <c r="CG191" i="4"/>
  <c r="CH191" i="4"/>
  <c r="B192" i="4"/>
  <c r="C192" i="4"/>
  <c r="C188" i="5"/>
  <c r="F192" i="4"/>
  <c r="I192" i="4"/>
  <c r="P192" i="4"/>
  <c r="Q192" i="4"/>
  <c r="S192" i="4"/>
  <c r="T192" i="4"/>
  <c r="V192" i="4"/>
  <c r="Y192" i="4"/>
  <c r="Z192" i="4"/>
  <c r="AB192" i="4"/>
  <c r="AC192" i="4"/>
  <c r="AE192" i="4"/>
  <c r="AE188" i="5"/>
  <c r="AG192" i="4"/>
  <c r="AH192" i="4"/>
  <c r="AI192" i="4"/>
  <c r="AI188" i="5"/>
  <c r="AJ192" i="4"/>
  <c r="AJ188" i="5"/>
  <c r="AM192" i="4"/>
  <c r="AM188" i="5"/>
  <c r="AX192" i="4"/>
  <c r="BO188" i="5"/>
  <c r="BS188" i="5"/>
  <c r="BT188" i="5"/>
  <c r="BA192" i="4"/>
  <c r="BB192" i="4"/>
  <c r="BC192" i="4"/>
  <c r="BD192" i="4"/>
  <c r="BL188" i="5"/>
  <c r="BL192" i="4"/>
  <c r="BN192" i="4"/>
  <c r="BW192" i="4"/>
  <c r="BX188" i="5"/>
  <c r="BO192" i="4"/>
  <c r="BP192" i="4"/>
  <c r="BR192" i="4"/>
  <c r="BX192" i="4"/>
  <c r="BY192" i="4"/>
  <c r="CG192" i="4"/>
  <c r="CH192" i="4"/>
  <c r="CC192" i="4"/>
  <c r="B193" i="4"/>
  <c r="B189" i="5"/>
  <c r="C193" i="4"/>
  <c r="C189" i="5"/>
  <c r="F193" i="4"/>
  <c r="F189" i="5"/>
  <c r="I193" i="4"/>
  <c r="I189" i="5"/>
  <c r="P193" i="4"/>
  <c r="Q193" i="4"/>
  <c r="S193" i="4"/>
  <c r="T193" i="4"/>
  <c r="V193" i="4"/>
  <c r="W193" i="4"/>
  <c r="Y193" i="4"/>
  <c r="Z193" i="4"/>
  <c r="AB193" i="4"/>
  <c r="AC193" i="4"/>
  <c r="AG193" i="4"/>
  <c r="AH193" i="4"/>
  <c r="AI193" i="4"/>
  <c r="AI189" i="5"/>
  <c r="AJ193" i="4"/>
  <c r="AJ189" i="5"/>
  <c r="AM193" i="4"/>
  <c r="AM189" i="5"/>
  <c r="AX193" i="4"/>
  <c r="BO189" i="5"/>
  <c r="BA193" i="4"/>
  <c r="BB193" i="4"/>
  <c r="BL189" i="5"/>
  <c r="BL193" i="4"/>
  <c r="BU189" i="5"/>
  <c r="BN193" i="4"/>
  <c r="BW193" i="4"/>
  <c r="BP193" i="4"/>
  <c r="BR193" i="4"/>
  <c r="BX193" i="4"/>
  <c r="CG193" i="4"/>
  <c r="CH193" i="4"/>
  <c r="D194" i="4"/>
  <c r="G194" i="4"/>
  <c r="J194" i="4"/>
  <c r="P194" i="4"/>
  <c r="S194" i="4"/>
  <c r="V194" i="4"/>
  <c r="Y194" i="4"/>
  <c r="Z194" i="4"/>
  <c r="AB194" i="4"/>
  <c r="AC194" i="4"/>
  <c r="AG194" i="4"/>
  <c r="AH194" i="4"/>
  <c r="AI194" i="4"/>
  <c r="AI190" i="5"/>
  <c r="AJ194" i="4"/>
  <c r="AJ190" i="5"/>
  <c r="AM194" i="4"/>
  <c r="AM190" i="5"/>
  <c r="AY194" i="4"/>
  <c r="AZ194" i="4"/>
  <c r="BA194" i="4"/>
  <c r="BB194" i="4"/>
  <c r="BL190" i="5"/>
  <c r="BF194" i="4"/>
  <c r="BG194" i="4"/>
  <c r="BL194" i="4"/>
  <c r="BU190" i="5"/>
  <c r="BP194" i="4"/>
  <c r="BR194" i="4"/>
  <c r="BW194" i="4"/>
  <c r="BX190" i="5"/>
  <c r="CG194" i="4"/>
  <c r="CH194" i="4"/>
  <c r="B195" i="4"/>
  <c r="C195" i="4"/>
  <c r="C191" i="5"/>
  <c r="F195" i="4"/>
  <c r="I195" i="4"/>
  <c r="I191" i="5"/>
  <c r="P195" i="4"/>
  <c r="Q195" i="4"/>
  <c r="S195" i="4"/>
  <c r="T195" i="4"/>
  <c r="V195" i="4"/>
  <c r="W195" i="4"/>
  <c r="Y195" i="4"/>
  <c r="Z195" i="4"/>
  <c r="AB195" i="4"/>
  <c r="AC195" i="4"/>
  <c r="AG195" i="4"/>
  <c r="AH195" i="4"/>
  <c r="AI195" i="4"/>
  <c r="AI191" i="5"/>
  <c r="AJ195" i="4"/>
  <c r="AJ191" i="5"/>
  <c r="AM195" i="4"/>
  <c r="AM191" i="5"/>
  <c r="AY195" i="4"/>
  <c r="AZ195" i="4"/>
  <c r="BA195" i="4"/>
  <c r="BB195" i="4"/>
  <c r="BL191" i="5"/>
  <c r="BM191" i="5"/>
  <c r="BN191" i="5"/>
  <c r="BF195" i="4"/>
  <c r="BG195" i="4"/>
  <c r="BL195" i="4"/>
  <c r="BP195" i="4"/>
  <c r="BR195" i="4"/>
  <c r="BW195" i="4"/>
  <c r="BX191" i="5"/>
  <c r="CG195" i="4"/>
  <c r="CH195" i="4"/>
  <c r="D196" i="4"/>
  <c r="E196" i="4"/>
  <c r="G196" i="4"/>
  <c r="H196" i="4"/>
  <c r="J196" i="4"/>
  <c r="K196" i="4"/>
  <c r="P196" i="4"/>
  <c r="Q196" i="4"/>
  <c r="S196" i="4"/>
  <c r="T196" i="4"/>
  <c r="V196" i="4"/>
  <c r="W196" i="4"/>
  <c r="Y196" i="4"/>
  <c r="Z196" i="4"/>
  <c r="AB196" i="4"/>
  <c r="AC196" i="4"/>
  <c r="AG196" i="4"/>
  <c r="AH196" i="4"/>
  <c r="AI196" i="4"/>
  <c r="AI192" i="5"/>
  <c r="AJ196" i="4"/>
  <c r="AJ192" i="5"/>
  <c r="AM196" i="4"/>
  <c r="AM192" i="5"/>
  <c r="AM193" i="5"/>
  <c r="AM195" i="5"/>
  <c r="AM196" i="5"/>
  <c r="AR196" i="4"/>
  <c r="AY196" i="4"/>
  <c r="AZ196" i="4"/>
  <c r="BC196" i="4"/>
  <c r="BD196" i="4"/>
  <c r="BF196" i="4"/>
  <c r="BG196" i="4"/>
  <c r="BL196" i="4"/>
  <c r="BP196" i="4"/>
  <c r="BR196" i="4"/>
  <c r="BW196" i="4"/>
  <c r="BX192" i="5"/>
  <c r="CG196" i="4"/>
  <c r="CH196" i="4"/>
  <c r="D197" i="4"/>
  <c r="E197" i="4"/>
  <c r="G197" i="4"/>
  <c r="H197" i="4"/>
  <c r="J197" i="4"/>
  <c r="K197" i="4"/>
  <c r="P197" i="4"/>
  <c r="Q197" i="4"/>
  <c r="S197" i="4"/>
  <c r="T197" i="4"/>
  <c r="V197" i="4"/>
  <c r="W197" i="4"/>
  <c r="Y197" i="4"/>
  <c r="Z197" i="4"/>
  <c r="AB197" i="4"/>
  <c r="AC197" i="4"/>
  <c r="AG197" i="4"/>
  <c r="AH197" i="4"/>
  <c r="AI197" i="4"/>
  <c r="AI193" i="5"/>
  <c r="AJ197" i="4"/>
  <c r="AJ193" i="5"/>
  <c r="AM197" i="4"/>
  <c r="AR197" i="4"/>
  <c r="AY197" i="4"/>
  <c r="AZ197" i="4"/>
  <c r="BC197" i="4"/>
  <c r="BF197" i="4"/>
  <c r="BG197" i="4"/>
  <c r="BL197" i="4"/>
  <c r="BU193" i="5"/>
  <c r="BV193" i="5"/>
  <c r="BN197" i="4"/>
  <c r="BW197" i="4"/>
  <c r="BX193" i="5"/>
  <c r="BO197" i="4"/>
  <c r="BP197" i="4"/>
  <c r="BR197" i="4"/>
  <c r="BX197" i="4"/>
  <c r="CG197" i="4"/>
  <c r="CH197" i="4"/>
  <c r="CC197" i="4"/>
  <c r="AS198" i="4"/>
  <c r="BA198" i="4"/>
  <c r="BC198" i="4"/>
  <c r="BD198" i="4"/>
  <c r="BP198" i="4"/>
  <c r="BR198" i="4"/>
  <c r="BW198" i="4"/>
  <c r="BX194" i="5"/>
  <c r="BZ198" i="4"/>
  <c r="CA198" i="4"/>
  <c r="D199" i="4"/>
  <c r="E199" i="4"/>
  <c r="G199" i="4"/>
  <c r="H199" i="4"/>
  <c r="J199" i="4"/>
  <c r="K199" i="4"/>
  <c r="P199" i="4"/>
  <c r="Q199" i="4"/>
  <c r="S199" i="4"/>
  <c r="T199" i="4"/>
  <c r="V199" i="4"/>
  <c r="W199" i="4"/>
  <c r="Y199" i="4"/>
  <c r="Z199" i="4"/>
  <c r="AB199" i="4"/>
  <c r="AC199" i="4"/>
  <c r="AG199" i="4"/>
  <c r="AH199" i="4"/>
  <c r="AI199" i="4"/>
  <c r="AI195" i="5"/>
  <c r="AJ199" i="4"/>
  <c r="AJ195" i="5"/>
  <c r="AM199" i="4"/>
  <c r="AR199" i="4"/>
  <c r="AY199" i="4"/>
  <c r="AZ199" i="4"/>
  <c r="BC199" i="4"/>
  <c r="BD199" i="4"/>
  <c r="BF199" i="4"/>
  <c r="BG199" i="4"/>
  <c r="BL199" i="4"/>
  <c r="BU195" i="5"/>
  <c r="BP199" i="4"/>
  <c r="BR199" i="4"/>
  <c r="BW199" i="4"/>
  <c r="BX195" i="5"/>
  <c r="BZ199" i="4"/>
  <c r="L200" i="4"/>
  <c r="L16" i="2"/>
  <c r="L10" i="3"/>
  <c r="L196" i="5"/>
  <c r="O200" i="4"/>
  <c r="O196" i="5"/>
  <c r="R200" i="4"/>
  <c r="R196" i="5"/>
  <c r="U200" i="4"/>
  <c r="U16" i="2"/>
  <c r="X200" i="4"/>
  <c r="X16" i="2"/>
  <c r="AA200" i="4"/>
  <c r="AA196" i="5"/>
  <c r="AD200" i="4"/>
  <c r="AF200" i="4"/>
  <c r="AK200" i="4"/>
  <c r="AL200" i="4"/>
  <c r="AN200" i="4"/>
  <c r="AO200" i="4"/>
  <c r="AP200" i="4"/>
  <c r="AQ200" i="4"/>
  <c r="AX200" i="4"/>
  <c r="BO196" i="5"/>
  <c r="BE200" i="4"/>
  <c r="BR196" i="5"/>
  <c r="BH200" i="4"/>
  <c r="BK200" i="4"/>
  <c r="BP201" i="4"/>
  <c r="BR201" i="4"/>
  <c r="BW201" i="4"/>
  <c r="BP202" i="4"/>
  <c r="BR202" i="4"/>
  <c r="BW202" i="4"/>
  <c r="BP203" i="4"/>
  <c r="BR203" i="4"/>
  <c r="BW203" i="4"/>
  <c r="BP204" i="4"/>
  <c r="BR204" i="4"/>
  <c r="BW204" i="4"/>
  <c r="BP205" i="4"/>
  <c r="BR205" i="4"/>
  <c r="BW205" i="4"/>
  <c r="BP206" i="4"/>
  <c r="BR206" i="4"/>
  <c r="BW206" i="4"/>
  <c r="BP207" i="4"/>
  <c r="BR207" i="4"/>
  <c r="BW207" i="4"/>
  <c r="BP208" i="4"/>
  <c r="BR208" i="4"/>
  <c r="BW208" i="4"/>
  <c r="BP209" i="4"/>
  <c r="BR209" i="4"/>
  <c r="D210" i="4"/>
  <c r="E210" i="4"/>
  <c r="G210" i="4"/>
  <c r="H210" i="4"/>
  <c r="J210" i="4"/>
  <c r="K210" i="4"/>
  <c r="P210" i="4"/>
  <c r="Q210" i="4"/>
  <c r="S210" i="4"/>
  <c r="T210" i="4"/>
  <c r="V210" i="4"/>
  <c r="W210" i="4"/>
  <c r="Y210" i="4"/>
  <c r="Z210" i="4"/>
  <c r="AB210" i="4"/>
  <c r="AC210" i="4"/>
  <c r="AE210" i="4"/>
  <c r="AG210" i="4"/>
  <c r="AH210" i="4"/>
  <c r="AM210" i="4"/>
  <c r="AM206" i="5"/>
  <c r="AY210" i="4"/>
  <c r="AZ210" i="4"/>
  <c r="BA210" i="4"/>
  <c r="BB210" i="4"/>
  <c r="BL206" i="5"/>
  <c r="BF210" i="4"/>
  <c r="BG210" i="4"/>
  <c r="BL210" i="4"/>
  <c r="BP210" i="4"/>
  <c r="BR210" i="4"/>
  <c r="BW210" i="4"/>
  <c r="BX206" i="5"/>
  <c r="D211" i="4"/>
  <c r="E211" i="4"/>
  <c r="G211" i="4"/>
  <c r="J211" i="4"/>
  <c r="P211" i="4"/>
  <c r="Q211" i="4"/>
  <c r="S211" i="4"/>
  <c r="T211" i="4"/>
  <c r="V211" i="4"/>
  <c r="W211" i="4"/>
  <c r="Y211" i="4"/>
  <c r="Z211" i="4"/>
  <c r="AB211" i="4"/>
  <c r="AC211" i="4"/>
  <c r="AG211" i="4"/>
  <c r="AH211" i="4"/>
  <c r="AM211" i="4"/>
  <c r="AM207" i="5"/>
  <c r="AS211" i="4"/>
  <c r="AV211" i="4"/>
  <c r="AW211" i="4"/>
  <c r="AY211" i="4"/>
  <c r="AZ211" i="4"/>
  <c r="BC211" i="4"/>
  <c r="BD211" i="4"/>
  <c r="BF211" i="4"/>
  <c r="BG211" i="4"/>
  <c r="BL211" i="4"/>
  <c r="BU207" i="5"/>
  <c r="BP211" i="4"/>
  <c r="BR211" i="4"/>
  <c r="BW211" i="4"/>
  <c r="D212" i="4"/>
  <c r="E212" i="4"/>
  <c r="G212" i="4"/>
  <c r="H212" i="4"/>
  <c r="J212" i="4"/>
  <c r="K212" i="4"/>
  <c r="P212" i="4"/>
  <c r="Q212" i="4"/>
  <c r="S212" i="4"/>
  <c r="T212" i="4"/>
  <c r="V212" i="4"/>
  <c r="W212" i="4"/>
  <c r="Y212" i="4"/>
  <c r="Z212" i="4"/>
  <c r="AB212" i="4"/>
  <c r="AC212" i="4"/>
  <c r="AG212" i="4"/>
  <c r="AH212" i="4"/>
  <c r="AM212" i="4"/>
  <c r="AM208" i="5"/>
  <c r="AS212" i="4"/>
  <c r="AS208" i="5"/>
  <c r="AY212" i="4"/>
  <c r="AZ212" i="4"/>
  <c r="BC212" i="4"/>
  <c r="BD212" i="4"/>
  <c r="BF212" i="4"/>
  <c r="BG212" i="4"/>
  <c r="BL212" i="4"/>
  <c r="BP212" i="4"/>
  <c r="BR212" i="4"/>
  <c r="BW212" i="4"/>
  <c r="BX208" i="5"/>
  <c r="CG212" i="4"/>
  <c r="CH212" i="4"/>
  <c r="D213" i="4"/>
  <c r="E213" i="4"/>
  <c r="G213" i="4"/>
  <c r="H213" i="4"/>
  <c r="J213" i="4"/>
  <c r="K213" i="4"/>
  <c r="P213" i="4"/>
  <c r="Q213" i="4"/>
  <c r="S213" i="4"/>
  <c r="T213" i="4"/>
  <c r="V213" i="4"/>
  <c r="W213" i="4"/>
  <c r="Y213" i="4"/>
  <c r="Z213" i="4"/>
  <c r="AB213" i="4"/>
  <c r="AC213" i="4"/>
  <c r="AG213" i="4"/>
  <c r="AH213" i="4"/>
  <c r="AS213" i="4"/>
  <c r="AS209" i="5"/>
  <c r="AY213" i="4"/>
  <c r="AZ213" i="4"/>
  <c r="BC213" i="4"/>
  <c r="BD213" i="4"/>
  <c r="BF213" i="4"/>
  <c r="BG213" i="4"/>
  <c r="BL213" i="4"/>
  <c r="BP213" i="4"/>
  <c r="BR213" i="4"/>
  <c r="BW213" i="4"/>
  <c r="BX209" i="5"/>
  <c r="D214" i="4"/>
  <c r="G214" i="4"/>
  <c r="H214" i="4"/>
  <c r="J214" i="4"/>
  <c r="K214" i="4"/>
  <c r="P214" i="4"/>
  <c r="Q214" i="4"/>
  <c r="S214" i="4"/>
  <c r="T214" i="4"/>
  <c r="V214" i="4"/>
  <c r="W214" i="4"/>
  <c r="Y214" i="4"/>
  <c r="Z214" i="4"/>
  <c r="AB214" i="4"/>
  <c r="AC214" i="4"/>
  <c r="AG214" i="4"/>
  <c r="AH214" i="4"/>
  <c r="AM214" i="4"/>
  <c r="AM210" i="5"/>
  <c r="AS214" i="4"/>
  <c r="AV214" i="4"/>
  <c r="AW214" i="4"/>
  <c r="AY214" i="4"/>
  <c r="AZ214" i="4"/>
  <c r="BC214" i="4"/>
  <c r="BD214" i="4"/>
  <c r="BF214" i="4"/>
  <c r="BG214" i="4"/>
  <c r="BL214" i="4"/>
  <c r="BP214" i="4"/>
  <c r="BR214" i="4"/>
  <c r="BW214" i="4"/>
  <c r="BX210" i="5"/>
  <c r="D215" i="4"/>
  <c r="G215" i="4"/>
  <c r="J215" i="4"/>
  <c r="P215" i="4"/>
  <c r="S215" i="4"/>
  <c r="V215" i="4"/>
  <c r="Y215" i="4"/>
  <c r="AB215" i="4"/>
  <c r="AG215" i="4"/>
  <c r="AH215" i="4"/>
  <c r="AM215" i="4"/>
  <c r="AM211" i="5"/>
  <c r="AS215" i="4"/>
  <c r="AS211" i="5"/>
  <c r="AY215" i="4"/>
  <c r="AZ215" i="4"/>
  <c r="BC215" i="4"/>
  <c r="BF215" i="4"/>
  <c r="BG215" i="4"/>
  <c r="BL215" i="4"/>
  <c r="BP215" i="4"/>
  <c r="BR215" i="4"/>
  <c r="BW215" i="4"/>
  <c r="BX211" i="5"/>
  <c r="D216" i="4"/>
  <c r="G216" i="4"/>
  <c r="J216" i="4"/>
  <c r="P216" i="4"/>
  <c r="S216" i="4"/>
  <c r="V216" i="4"/>
  <c r="Y216" i="4"/>
  <c r="AB216" i="4"/>
  <c r="AG216" i="4"/>
  <c r="AH216" i="4"/>
  <c r="AM216" i="4"/>
  <c r="AM212" i="5"/>
  <c r="AS216" i="4"/>
  <c r="AS212" i="5"/>
  <c r="AY216" i="4"/>
  <c r="AZ216" i="4"/>
  <c r="BC216" i="4"/>
  <c r="BD216" i="4"/>
  <c r="BF216" i="4"/>
  <c r="BG216" i="4"/>
  <c r="BL216" i="4"/>
  <c r="BP216" i="4"/>
  <c r="BR216" i="4"/>
  <c r="BW216" i="4"/>
  <c r="BX212" i="5"/>
  <c r="CG216" i="4"/>
  <c r="CH216" i="4"/>
  <c r="J217" i="4"/>
  <c r="P217" i="4"/>
  <c r="S217" i="4"/>
  <c r="V217" i="4"/>
  <c r="Y217" i="4"/>
  <c r="AB217" i="4"/>
  <c r="AG217" i="4"/>
  <c r="AH217" i="4"/>
  <c r="AM217" i="4"/>
  <c r="AM213" i="5"/>
  <c r="AS217" i="4"/>
  <c r="AS213" i="5"/>
  <c r="AX217" i="4"/>
  <c r="BO213" i="5"/>
  <c r="BC217" i="4"/>
  <c r="BD217" i="4"/>
  <c r="BL217" i="4"/>
  <c r="BU213" i="5"/>
  <c r="BP217" i="4"/>
  <c r="BR217" i="4"/>
  <c r="BW217" i="4"/>
  <c r="BX213" i="5"/>
  <c r="BZ217" i="4"/>
  <c r="P218" i="4"/>
  <c r="S218" i="4"/>
  <c r="T218" i="4"/>
  <c r="V218" i="4"/>
  <c r="W218" i="4"/>
  <c r="Y218" i="4"/>
  <c r="Z218" i="4"/>
  <c r="AB218" i="4"/>
  <c r="AC218" i="4"/>
  <c r="AG218" i="4"/>
  <c r="AH218" i="4"/>
  <c r="AM218" i="4"/>
  <c r="AM214" i="5"/>
  <c r="AS218" i="4"/>
  <c r="AY218" i="4"/>
  <c r="AZ218" i="4"/>
  <c r="BC218" i="4"/>
  <c r="BD218" i="4"/>
  <c r="BF218" i="4"/>
  <c r="BG218" i="4"/>
  <c r="BL218" i="4"/>
  <c r="BP218" i="4"/>
  <c r="BR218" i="4"/>
  <c r="BW218" i="4"/>
  <c r="BX214" i="5"/>
  <c r="P219" i="4"/>
  <c r="V219" i="4"/>
  <c r="Y219" i="4"/>
  <c r="AB219" i="4"/>
  <c r="AC219" i="4"/>
  <c r="AG219" i="4"/>
  <c r="AH219" i="4"/>
  <c r="AM219" i="4"/>
  <c r="AM215" i="5"/>
  <c r="AS219" i="4"/>
  <c r="AS215" i="5"/>
  <c r="AY219" i="4"/>
  <c r="AZ219" i="4"/>
  <c r="BC219" i="4"/>
  <c r="BD219" i="4"/>
  <c r="BF219" i="4"/>
  <c r="BG219" i="4"/>
  <c r="BL219" i="4"/>
  <c r="BU215" i="5"/>
  <c r="BP219" i="4"/>
  <c r="BR219" i="4"/>
  <c r="BW219" i="4"/>
  <c r="BX215" i="5"/>
  <c r="P220" i="4"/>
  <c r="S220" i="4"/>
  <c r="T220" i="4"/>
  <c r="V220" i="4"/>
  <c r="Y220" i="4"/>
  <c r="AB220" i="4"/>
  <c r="AG220" i="4"/>
  <c r="AH220" i="4"/>
  <c r="AM220" i="4"/>
  <c r="AM216" i="5"/>
  <c r="AS220" i="4"/>
  <c r="AY220" i="4"/>
  <c r="AZ220" i="4"/>
  <c r="BC220" i="4"/>
  <c r="BF220" i="4"/>
  <c r="BG220" i="4"/>
  <c r="BL220" i="4"/>
  <c r="BU216" i="5"/>
  <c r="BP220" i="4"/>
  <c r="BR220" i="4"/>
  <c r="BW220" i="4"/>
  <c r="BX216" i="5"/>
  <c r="BZ220" i="4"/>
  <c r="P221" i="4"/>
  <c r="S221" i="4"/>
  <c r="T221" i="4"/>
  <c r="V221" i="4"/>
  <c r="W221" i="4"/>
  <c r="Y221" i="4"/>
  <c r="Z221" i="4"/>
  <c r="AB221" i="4"/>
  <c r="AC221" i="4"/>
  <c r="AG221" i="4"/>
  <c r="AH221" i="4"/>
  <c r="AM221" i="4"/>
  <c r="AM217" i="5"/>
  <c r="AY221" i="4"/>
  <c r="AZ221" i="4"/>
  <c r="BA221" i="4"/>
  <c r="BB221" i="4"/>
  <c r="BL217" i="5"/>
  <c r="BF221" i="4"/>
  <c r="BG221" i="4"/>
  <c r="BL221" i="4"/>
  <c r="BU217" i="5"/>
  <c r="BP221" i="4"/>
  <c r="BR221" i="4"/>
  <c r="BW221" i="4"/>
  <c r="BX217" i="5"/>
  <c r="CG221" i="4"/>
  <c r="CH221" i="4"/>
  <c r="D222" i="4"/>
  <c r="G222" i="4"/>
  <c r="J222" i="4"/>
  <c r="P222" i="4"/>
  <c r="S222" i="4"/>
  <c r="V222" i="4"/>
  <c r="Y222" i="4"/>
  <c r="AB222" i="4"/>
  <c r="AC222" i="4"/>
  <c r="AG222" i="4"/>
  <c r="AH222" i="4"/>
  <c r="AM222" i="4"/>
  <c r="AM218" i="5"/>
  <c r="AS222" i="4"/>
  <c r="AY222" i="4"/>
  <c r="AZ222" i="4"/>
  <c r="BC222" i="4"/>
  <c r="BF222" i="4"/>
  <c r="BG222" i="4"/>
  <c r="BL222" i="4"/>
  <c r="BP222" i="4"/>
  <c r="BR222" i="4"/>
  <c r="BW222" i="4"/>
  <c r="BX218" i="5"/>
  <c r="BZ222" i="4"/>
  <c r="P223" i="4"/>
  <c r="S223" i="4"/>
  <c r="T223" i="4"/>
  <c r="V223" i="4"/>
  <c r="W223" i="4"/>
  <c r="Y223" i="4"/>
  <c r="Z223" i="4"/>
  <c r="AB223" i="4"/>
  <c r="AC223" i="4"/>
  <c r="AG223" i="4"/>
  <c r="AH223" i="4"/>
  <c r="AM223" i="4"/>
  <c r="AM219" i="5"/>
  <c r="AS223" i="4"/>
  <c r="AY223" i="4"/>
  <c r="AZ223" i="4"/>
  <c r="BC223" i="4"/>
  <c r="BD223" i="4"/>
  <c r="BF223" i="4"/>
  <c r="BG223" i="4"/>
  <c r="BL223" i="4"/>
  <c r="BU219" i="5"/>
  <c r="BP223" i="4"/>
  <c r="BR223" i="4"/>
  <c r="BW223" i="4"/>
  <c r="BX219" i="5"/>
  <c r="CG223" i="4"/>
  <c r="CH223" i="4"/>
  <c r="P224" i="4"/>
  <c r="Q224" i="4"/>
  <c r="S224" i="4"/>
  <c r="V224" i="4"/>
  <c r="AG224" i="4"/>
  <c r="AH224" i="4"/>
  <c r="AM224" i="4"/>
  <c r="AM220" i="5"/>
  <c r="AS224" i="4"/>
  <c r="AY224" i="4"/>
  <c r="AZ224" i="4"/>
  <c r="BC224" i="4"/>
  <c r="BF224" i="4"/>
  <c r="BG224" i="4"/>
  <c r="BL224" i="4"/>
  <c r="BP224" i="4"/>
  <c r="BR224" i="4"/>
  <c r="BW224" i="4"/>
  <c r="BX220" i="5"/>
  <c r="BZ224" i="4"/>
  <c r="CG224" i="4"/>
  <c r="CH224" i="4"/>
  <c r="P225" i="4"/>
  <c r="S225" i="4"/>
  <c r="V225" i="4"/>
  <c r="W225" i="4"/>
  <c r="Y225" i="4"/>
  <c r="Z225" i="4"/>
  <c r="AB225" i="4"/>
  <c r="AC225" i="4"/>
  <c r="AG225" i="4"/>
  <c r="AH225" i="4"/>
  <c r="AM225" i="4"/>
  <c r="AM221" i="5"/>
  <c r="AS225" i="4"/>
  <c r="AY225" i="4"/>
  <c r="AZ225" i="4"/>
  <c r="BC225" i="4"/>
  <c r="BD225" i="4"/>
  <c r="BF225" i="4"/>
  <c r="BG225" i="4"/>
  <c r="BL225" i="4"/>
  <c r="BU221" i="5"/>
  <c r="BV221" i="5"/>
  <c r="BP225" i="4"/>
  <c r="BR225" i="4"/>
  <c r="BW225" i="4"/>
  <c r="BX221" i="5"/>
  <c r="BZ225" i="4"/>
  <c r="D226" i="4"/>
  <c r="G226" i="4"/>
  <c r="J226" i="4"/>
  <c r="P226" i="4"/>
  <c r="S226" i="4"/>
  <c r="V226" i="4"/>
  <c r="Y226" i="4"/>
  <c r="AB226" i="4"/>
  <c r="AC226" i="4"/>
  <c r="AG226" i="4"/>
  <c r="AH226" i="4"/>
  <c r="AM226" i="4"/>
  <c r="AM222" i="5"/>
  <c r="AS226" i="4"/>
  <c r="AS222" i="5"/>
  <c r="AY226" i="4"/>
  <c r="AZ226" i="4"/>
  <c r="BC226" i="4"/>
  <c r="BD226" i="4"/>
  <c r="BF226" i="4"/>
  <c r="BG226" i="4"/>
  <c r="BL226" i="4"/>
  <c r="BU222" i="5"/>
  <c r="BV222" i="5"/>
  <c r="BP226" i="4"/>
  <c r="BR226" i="4"/>
  <c r="BW226" i="4"/>
  <c r="BX222" i="5"/>
  <c r="CG226" i="4"/>
  <c r="CH226" i="4"/>
  <c r="D227" i="4"/>
  <c r="G227" i="4"/>
  <c r="J227" i="4"/>
  <c r="Y227" i="4"/>
  <c r="AB227" i="4"/>
  <c r="AC227" i="4"/>
  <c r="AG227" i="4"/>
  <c r="AH227" i="4"/>
  <c r="AM227" i="4"/>
  <c r="AM223" i="5"/>
  <c r="AS227" i="4"/>
  <c r="AS223" i="5"/>
  <c r="BC227" i="4"/>
  <c r="BD227" i="4"/>
  <c r="BL227" i="4"/>
  <c r="BU223" i="5"/>
  <c r="BP227" i="4"/>
  <c r="BR227" i="4"/>
  <c r="BW227" i="4"/>
  <c r="BX223" i="5"/>
  <c r="BZ227" i="4"/>
  <c r="CA227" i="4"/>
  <c r="J228" i="4"/>
  <c r="AG228" i="4"/>
  <c r="AH228" i="4"/>
  <c r="AM228" i="4"/>
  <c r="AM224" i="5"/>
  <c r="AS228" i="4"/>
  <c r="AV228" i="4"/>
  <c r="AW228" i="4"/>
  <c r="AY228" i="4"/>
  <c r="AZ228" i="4"/>
  <c r="BC228" i="4"/>
  <c r="BF228" i="4"/>
  <c r="BG228" i="4"/>
  <c r="BL228" i="4"/>
  <c r="BP228" i="4"/>
  <c r="BR228" i="4"/>
  <c r="BW228" i="4"/>
  <c r="BX224" i="5"/>
  <c r="BZ228" i="4"/>
  <c r="CG228" i="4"/>
  <c r="CH228" i="4"/>
  <c r="AG229" i="4"/>
  <c r="AH229" i="4"/>
  <c r="AM229" i="4"/>
  <c r="AM225" i="5"/>
  <c r="AS229" i="4"/>
  <c r="AV229" i="4"/>
  <c r="AW229" i="4"/>
  <c r="AX229" i="4"/>
  <c r="BC229" i="4"/>
  <c r="BD229" i="4"/>
  <c r="BL229" i="4"/>
  <c r="BU225" i="5"/>
  <c r="BV225" i="5"/>
  <c r="BP229" i="4"/>
  <c r="BR229" i="4"/>
  <c r="BW229" i="4"/>
  <c r="BX225" i="5"/>
  <c r="BZ229" i="4"/>
  <c r="AG230" i="4"/>
  <c r="AH230" i="4"/>
  <c r="AM230" i="4"/>
  <c r="AM226" i="5"/>
  <c r="AS230" i="4"/>
  <c r="AS226" i="5"/>
  <c r="AV226" i="5"/>
  <c r="AW226" i="5"/>
  <c r="AY230" i="4"/>
  <c r="AZ230" i="4"/>
  <c r="BC230" i="4"/>
  <c r="BD230" i="4"/>
  <c r="BF230" i="4"/>
  <c r="BG230" i="4"/>
  <c r="BL230" i="4"/>
  <c r="BU226" i="5"/>
  <c r="BV226" i="5"/>
  <c r="BP230" i="4"/>
  <c r="BR230" i="4"/>
  <c r="BW230" i="4"/>
  <c r="BX226" i="5"/>
  <c r="CG230" i="4"/>
  <c r="CH230" i="4"/>
  <c r="AG231" i="4"/>
  <c r="AH231" i="4"/>
  <c r="AM231" i="4"/>
  <c r="AM227" i="5"/>
  <c r="AS231" i="4"/>
  <c r="AS227" i="5"/>
  <c r="AX231" i="4"/>
  <c r="BO227" i="5"/>
  <c r="BC231" i="4"/>
  <c r="BD231" i="4"/>
  <c r="BL231" i="4"/>
  <c r="BM231" i="4"/>
  <c r="BU227" i="5"/>
  <c r="BP231" i="4"/>
  <c r="BR231" i="4"/>
  <c r="BW231" i="4"/>
  <c r="BX227" i="5"/>
  <c r="AM232" i="4"/>
  <c r="AM228" i="5"/>
  <c r="AS232" i="4"/>
  <c r="AT232" i="4"/>
  <c r="AU232" i="4"/>
  <c r="AY232" i="4"/>
  <c r="AZ232" i="4"/>
  <c r="BC232" i="4"/>
  <c r="BD232" i="4"/>
  <c r="BF232" i="4"/>
  <c r="BG232" i="4"/>
  <c r="BL232" i="4"/>
  <c r="BU228" i="5"/>
  <c r="BP232" i="4"/>
  <c r="BR232" i="4"/>
  <c r="BW232" i="4"/>
  <c r="BX228" i="5"/>
  <c r="BZ232" i="4"/>
  <c r="CG232" i="4"/>
  <c r="CH232" i="4"/>
  <c r="AS233" i="4"/>
  <c r="AT233" i="4"/>
  <c r="AU233" i="4"/>
  <c r="AY233" i="4"/>
  <c r="AZ233" i="4"/>
  <c r="BC233" i="4"/>
  <c r="BD233" i="4"/>
  <c r="BF233" i="4"/>
  <c r="BG233" i="4"/>
  <c r="BL233" i="4"/>
  <c r="BU229" i="5"/>
  <c r="BV229" i="5"/>
  <c r="BP233" i="4"/>
  <c r="BR233" i="4"/>
  <c r="BW233" i="4"/>
  <c r="BX229" i="5"/>
  <c r="CG233" i="4"/>
  <c r="CH233" i="4"/>
  <c r="B235" i="4"/>
  <c r="B231" i="5"/>
  <c r="C235" i="4"/>
  <c r="C231" i="5"/>
  <c r="F235" i="4"/>
  <c r="F17" i="2"/>
  <c r="F231" i="5"/>
  <c r="I235" i="4"/>
  <c r="I231" i="5"/>
  <c r="L235" i="4"/>
  <c r="L231" i="5"/>
  <c r="N231" i="5"/>
  <c r="M235" i="4"/>
  <c r="M255" i="4"/>
  <c r="M18" i="2"/>
  <c r="O235" i="4"/>
  <c r="O231" i="5"/>
  <c r="R235" i="4"/>
  <c r="R17" i="2"/>
  <c r="R11" i="3"/>
  <c r="U235" i="4"/>
  <c r="X235" i="4"/>
  <c r="X231" i="5"/>
  <c r="AA235" i="4"/>
  <c r="AA231" i="5"/>
  <c r="AD235" i="4"/>
  <c r="AD231" i="5"/>
  <c r="AF235" i="4"/>
  <c r="AF231" i="5"/>
  <c r="AK235" i="4"/>
  <c r="AL235" i="4"/>
  <c r="AN235" i="4"/>
  <c r="AO235" i="4"/>
  <c r="BE235" i="4"/>
  <c r="BR231" i="5"/>
  <c r="BH235" i="4"/>
  <c r="BN235" i="4"/>
  <c r="BW235" i="4"/>
  <c r="BO235" i="4"/>
  <c r="BX235" i="4"/>
  <c r="CC235" i="4"/>
  <c r="BP236" i="4"/>
  <c r="BR236" i="4"/>
  <c r="BW236" i="4"/>
  <c r="BP237" i="4"/>
  <c r="BR237" i="4"/>
  <c r="BW237" i="4"/>
  <c r="BP238" i="4"/>
  <c r="BR238" i="4"/>
  <c r="BW238" i="4"/>
  <c r="BP239" i="4"/>
  <c r="BR239" i="4"/>
  <c r="BW239" i="4"/>
  <c r="D240" i="4"/>
  <c r="E240" i="4"/>
  <c r="G240" i="4"/>
  <c r="H240" i="4"/>
  <c r="J240" i="4"/>
  <c r="K240" i="4"/>
  <c r="AB240" i="4"/>
  <c r="AY240" i="4"/>
  <c r="AZ240" i="4"/>
  <c r="BF240" i="4"/>
  <c r="BG240" i="4"/>
  <c r="BL240" i="4"/>
  <c r="BM240" i="4"/>
  <c r="BQ240" i="4"/>
  <c r="BP240" i="4"/>
  <c r="BR240" i="4"/>
  <c r="BW240" i="4"/>
  <c r="CA240" i="4"/>
  <c r="CG240" i="4"/>
  <c r="CH240" i="4"/>
  <c r="D241" i="4"/>
  <c r="E241" i="4"/>
  <c r="G241" i="4"/>
  <c r="H241" i="4"/>
  <c r="J241" i="4"/>
  <c r="K241" i="4"/>
  <c r="AB241" i="4"/>
  <c r="AY241" i="4"/>
  <c r="AZ241" i="4"/>
  <c r="BF241" i="4"/>
  <c r="BG241" i="4"/>
  <c r="BL241" i="4"/>
  <c r="BU237" i="5"/>
  <c r="BP241" i="4"/>
  <c r="BR241" i="4"/>
  <c r="BW241" i="4"/>
  <c r="CA241" i="4"/>
  <c r="CG241" i="4"/>
  <c r="CH241" i="4"/>
  <c r="D242" i="4"/>
  <c r="E242" i="4"/>
  <c r="G242" i="4"/>
  <c r="H242" i="4"/>
  <c r="J242" i="4"/>
  <c r="K242" i="4"/>
  <c r="AB242" i="4"/>
  <c r="AY242" i="4"/>
  <c r="AZ242" i="4"/>
  <c r="BF242" i="4"/>
  <c r="BG242" i="4"/>
  <c r="BL242" i="4"/>
  <c r="BU238" i="5"/>
  <c r="BP242" i="4"/>
  <c r="BR242" i="4"/>
  <c r="BW242" i="4"/>
  <c r="CA242" i="4"/>
  <c r="CG242" i="4"/>
  <c r="CH242" i="4"/>
  <c r="D243" i="4"/>
  <c r="E243" i="4"/>
  <c r="G243" i="4"/>
  <c r="H243" i="4"/>
  <c r="J243" i="4"/>
  <c r="K243" i="4"/>
  <c r="AB243" i="4"/>
  <c r="AY243" i="4"/>
  <c r="AZ243" i="4"/>
  <c r="BF243" i="4"/>
  <c r="BG243" i="4"/>
  <c r="BL243" i="4"/>
  <c r="BP243" i="4"/>
  <c r="BR243" i="4"/>
  <c r="BW243" i="4"/>
  <c r="CA243" i="4"/>
  <c r="CG243" i="4"/>
  <c r="CH243" i="4"/>
  <c r="D244" i="4"/>
  <c r="E244" i="4"/>
  <c r="G244" i="4"/>
  <c r="H244" i="4"/>
  <c r="J244" i="4"/>
  <c r="K244" i="4"/>
  <c r="AB244" i="4"/>
  <c r="AY244" i="4"/>
  <c r="AZ244" i="4"/>
  <c r="BF244" i="4"/>
  <c r="BG244" i="4"/>
  <c r="BL244" i="4"/>
  <c r="BU240" i="5"/>
  <c r="BP244" i="4"/>
  <c r="BR244" i="4"/>
  <c r="BW244" i="4"/>
  <c r="CA244" i="4"/>
  <c r="CG244" i="4"/>
  <c r="CH244" i="4"/>
  <c r="D245" i="4"/>
  <c r="E245" i="4"/>
  <c r="G245" i="4"/>
  <c r="H245" i="4"/>
  <c r="J245" i="4"/>
  <c r="K245" i="4"/>
  <c r="AB245" i="4"/>
  <c r="AY245" i="4"/>
  <c r="AZ245" i="4"/>
  <c r="BF245" i="4"/>
  <c r="BG245" i="4"/>
  <c r="BL245" i="4"/>
  <c r="BU241" i="5"/>
  <c r="BP245" i="4"/>
  <c r="BR245" i="4"/>
  <c r="BW245" i="4"/>
  <c r="CA245" i="4"/>
  <c r="CG245" i="4"/>
  <c r="CH245" i="4"/>
  <c r="D246" i="4"/>
  <c r="E246" i="4"/>
  <c r="G246" i="4"/>
  <c r="H246" i="4"/>
  <c r="J246" i="4"/>
  <c r="K246" i="4"/>
  <c r="AB246" i="4"/>
  <c r="AY246" i="4"/>
  <c r="AZ246" i="4"/>
  <c r="BF246" i="4"/>
  <c r="BG246" i="4"/>
  <c r="BL246" i="4"/>
  <c r="BU242" i="5"/>
  <c r="BP246" i="4"/>
  <c r="BR246" i="4"/>
  <c r="BW246" i="4"/>
  <c r="CA246" i="4"/>
  <c r="CG246" i="4"/>
  <c r="CH246" i="4"/>
  <c r="D247" i="4"/>
  <c r="E247" i="4"/>
  <c r="G247" i="4"/>
  <c r="H247" i="4"/>
  <c r="J247" i="4"/>
  <c r="K247" i="4"/>
  <c r="AB247" i="4"/>
  <c r="AY247" i="4"/>
  <c r="AZ247" i="4"/>
  <c r="BF247" i="4"/>
  <c r="BG247" i="4"/>
  <c r="BL247" i="4"/>
  <c r="BU243" i="5"/>
  <c r="BP247" i="4"/>
  <c r="BR247" i="4"/>
  <c r="BW247" i="4"/>
  <c r="CA247" i="4"/>
  <c r="CG247" i="4"/>
  <c r="CH247" i="4"/>
  <c r="D248" i="4"/>
  <c r="E248" i="4"/>
  <c r="G248" i="4"/>
  <c r="H248" i="4"/>
  <c r="J248" i="4"/>
  <c r="K248" i="4"/>
  <c r="AB248" i="4"/>
  <c r="AY248" i="4"/>
  <c r="AZ248" i="4"/>
  <c r="BF248" i="4"/>
  <c r="BG248" i="4"/>
  <c r="BL248" i="4"/>
  <c r="BU244" i="5"/>
  <c r="BP248" i="4"/>
  <c r="BR248" i="4"/>
  <c r="BW248" i="4"/>
  <c r="CA248" i="4"/>
  <c r="CG248" i="4"/>
  <c r="CH248" i="4"/>
  <c r="D249" i="4"/>
  <c r="E249" i="4"/>
  <c r="G249" i="4"/>
  <c r="H249" i="4"/>
  <c r="J249" i="4"/>
  <c r="K249" i="4"/>
  <c r="AB249" i="4"/>
  <c r="AY249" i="4"/>
  <c r="AZ249" i="4"/>
  <c r="BF249" i="4"/>
  <c r="BG249" i="4"/>
  <c r="BL249" i="4"/>
  <c r="BU245" i="5"/>
  <c r="BP249" i="4"/>
  <c r="BR249" i="4"/>
  <c r="BW249" i="4"/>
  <c r="CA249" i="4"/>
  <c r="CG249" i="4"/>
  <c r="CH249" i="4"/>
  <c r="D250" i="4"/>
  <c r="E250" i="4"/>
  <c r="G250" i="4"/>
  <c r="H250" i="4"/>
  <c r="J250" i="4"/>
  <c r="K250" i="4"/>
  <c r="AB250" i="4"/>
  <c r="AY250" i="4"/>
  <c r="AZ250" i="4"/>
  <c r="BF250" i="4"/>
  <c r="BG250" i="4"/>
  <c r="BL250" i="4"/>
  <c r="BU246" i="5"/>
  <c r="BP250" i="4"/>
  <c r="BR250" i="4"/>
  <c r="BW250" i="4"/>
  <c r="CA250" i="4"/>
  <c r="CG250" i="4"/>
  <c r="CH250" i="4"/>
  <c r="D251" i="4"/>
  <c r="E251" i="4"/>
  <c r="G251" i="4"/>
  <c r="H251" i="4"/>
  <c r="J251" i="4"/>
  <c r="K251" i="4"/>
  <c r="AB251" i="4"/>
  <c r="AY251" i="4"/>
  <c r="AZ251" i="4"/>
  <c r="BF251" i="4"/>
  <c r="BG251" i="4"/>
  <c r="BL251" i="4"/>
  <c r="BU247" i="5"/>
  <c r="BP251" i="4"/>
  <c r="BR251" i="4"/>
  <c r="BW251" i="4"/>
  <c r="CA251" i="4"/>
  <c r="CG251" i="4"/>
  <c r="CH251" i="4"/>
  <c r="D252" i="4"/>
  <c r="E252" i="4"/>
  <c r="G252" i="4"/>
  <c r="H252" i="4"/>
  <c r="J252" i="4"/>
  <c r="K252" i="4"/>
  <c r="AB252" i="4"/>
  <c r="AY252" i="4"/>
  <c r="AZ252" i="4"/>
  <c r="BF252" i="4"/>
  <c r="BG252" i="4"/>
  <c r="BL252" i="4"/>
  <c r="BU248" i="5"/>
  <c r="BP252" i="4"/>
  <c r="BR252" i="4"/>
  <c r="BW252" i="4"/>
  <c r="CA252" i="4"/>
  <c r="CG252" i="4"/>
  <c r="CH252" i="4"/>
  <c r="D253" i="4"/>
  <c r="E253" i="4"/>
  <c r="G253" i="4"/>
  <c r="H253" i="4"/>
  <c r="J253" i="4"/>
  <c r="K253" i="4"/>
  <c r="AB253" i="4"/>
  <c r="AY253" i="4"/>
  <c r="AZ253" i="4"/>
  <c r="BF253" i="4"/>
  <c r="BG253" i="4"/>
  <c r="BL253" i="4"/>
  <c r="BU249" i="5"/>
  <c r="BP253" i="4"/>
  <c r="BR253" i="4"/>
  <c r="BW253" i="4"/>
  <c r="CA253" i="4"/>
  <c r="CG253" i="4"/>
  <c r="CH253" i="4"/>
  <c r="D254" i="4"/>
  <c r="E254" i="4"/>
  <c r="G254" i="4"/>
  <c r="H254" i="4"/>
  <c r="J254" i="4"/>
  <c r="K254" i="4"/>
  <c r="AA254" i="4"/>
  <c r="AA251" i="5"/>
  <c r="AB254" i="4"/>
  <c r="AY254" i="4"/>
  <c r="AZ254" i="4"/>
  <c r="BF254" i="4"/>
  <c r="BG254" i="4"/>
  <c r="BL254" i="4"/>
  <c r="BP254" i="4"/>
  <c r="BR254" i="4"/>
  <c r="BW254" i="4"/>
  <c r="CA254" i="4"/>
  <c r="CB254" i="4"/>
  <c r="CG254" i="4"/>
  <c r="CH254" i="4"/>
  <c r="BP256" i="4"/>
  <c r="BR256" i="4"/>
  <c r="BW258" i="4"/>
  <c r="AJ271" i="4"/>
  <c r="AL271" i="4"/>
  <c r="M11" i="2"/>
  <c r="N11" i="2"/>
  <c r="M12" i="2"/>
  <c r="N12" i="2"/>
  <c r="L13" i="2"/>
  <c r="L7" i="3"/>
  <c r="M13" i="2"/>
  <c r="N13" i="2"/>
  <c r="AJ13" i="2"/>
  <c r="AJ7" i="3"/>
  <c r="M14" i="2"/>
  <c r="N14" i="2"/>
  <c r="M15" i="2"/>
  <c r="N15" i="2"/>
  <c r="M16" i="2"/>
  <c r="N16" i="2"/>
  <c r="N17" i="2"/>
  <c r="N18" i="2"/>
  <c r="AU136" i="5"/>
  <c r="BM109" i="5"/>
  <c r="BN109" i="5"/>
  <c r="AT96" i="5"/>
  <c r="AU96" i="5"/>
  <c r="BM222" i="5"/>
  <c r="BN222" i="5"/>
  <c r="AA16" i="2"/>
  <c r="L11" i="2"/>
  <c r="L5" i="3"/>
  <c r="BM211" i="5"/>
  <c r="BN211" i="5"/>
  <c r="CB78" i="5"/>
  <c r="CM79" i="4"/>
  <c r="BV12" i="5"/>
  <c r="AY253" i="5"/>
  <c r="BJ253" i="5"/>
  <c r="BM206" i="5"/>
  <c r="BN206" i="5"/>
  <c r="BJ63" i="5"/>
  <c r="O16" i="2"/>
  <c r="O10" i="3"/>
  <c r="BP131" i="5"/>
  <c r="BQ131" i="5"/>
  <c r="AT110" i="5"/>
  <c r="AU110" i="5"/>
  <c r="BV108" i="5"/>
  <c r="AT108" i="5"/>
  <c r="AU108" i="5"/>
  <c r="BV105" i="5"/>
  <c r="BV223" i="5"/>
  <c r="BP138" i="5"/>
  <c r="BQ138" i="5"/>
  <c r="BV163" i="5"/>
  <c r="AT65" i="5"/>
  <c r="AU65" i="5"/>
  <c r="BP29" i="5"/>
  <c r="BQ29" i="5"/>
  <c r="BV227" i="5"/>
  <c r="BM92" i="5"/>
  <c r="BN92" i="5"/>
  <c r="BP187" i="5"/>
  <c r="BQ187" i="5"/>
  <c r="AU161" i="5"/>
  <c r="BV106" i="5"/>
  <c r="BV72" i="5"/>
  <c r="AT101" i="5"/>
  <c r="AU101" i="5"/>
  <c r="CG217" i="4"/>
  <c r="CH217" i="4"/>
  <c r="BZ235" i="4"/>
  <c r="CA235" i="4"/>
  <c r="CB235" i="4"/>
  <c r="AT169" i="5"/>
  <c r="AU169" i="5"/>
  <c r="AT162" i="5"/>
  <c r="AU162" i="5"/>
  <c r="BM28" i="5"/>
  <c r="BN28" i="5"/>
  <c r="BV27" i="5"/>
  <c r="BV20" i="5"/>
  <c r="S168" i="5"/>
  <c r="T168" i="5"/>
  <c r="BO118" i="4"/>
  <c r="BP118" i="4"/>
  <c r="BR118" i="4"/>
  <c r="L176" i="4"/>
  <c r="BM155" i="5"/>
  <c r="BN155" i="5"/>
  <c r="R16" i="2"/>
  <c r="R10" i="3"/>
  <c r="AP14" i="2"/>
  <c r="AP13" i="2"/>
  <c r="CA231" i="4"/>
  <c r="CB231" i="4"/>
  <c r="CG231" i="4"/>
  <c r="CH231" i="4"/>
  <c r="CB227" i="4"/>
  <c r="CG227" i="4"/>
  <c r="CH227" i="4"/>
  <c r="CA225" i="4"/>
  <c r="CB225" i="4"/>
  <c r="CG225" i="4"/>
  <c r="CH225" i="4"/>
  <c r="CA219" i="4"/>
  <c r="CB219" i="4"/>
  <c r="CG219" i="4"/>
  <c r="CH219" i="4"/>
  <c r="BY211" i="5"/>
  <c r="CC211" i="5"/>
  <c r="CD211" i="5"/>
  <c r="CG215" i="4"/>
  <c r="CH215" i="4"/>
  <c r="CA199" i="4"/>
  <c r="CB199" i="4"/>
  <c r="CG199" i="4"/>
  <c r="CH199" i="4"/>
  <c r="CG198" i="4"/>
  <c r="CH198" i="4"/>
  <c r="BY168" i="5"/>
  <c r="CC168" i="5"/>
  <c r="CD168" i="5"/>
  <c r="CG169" i="4"/>
  <c r="CH169" i="4"/>
  <c r="BY140" i="5"/>
  <c r="CG141" i="4"/>
  <c r="CH141" i="4"/>
  <c r="BY136" i="5"/>
  <c r="CG137" i="4"/>
  <c r="CH137" i="4"/>
  <c r="BY133" i="5"/>
  <c r="CC133" i="5"/>
  <c r="CD133" i="5"/>
  <c r="CG134" i="4"/>
  <c r="CH134" i="4"/>
  <c r="BY129" i="5"/>
  <c r="CC129" i="5"/>
  <c r="CD129" i="5"/>
  <c r="CG130" i="4"/>
  <c r="CH130" i="4"/>
  <c r="BY111" i="5"/>
  <c r="CG112" i="4"/>
  <c r="CH112" i="4"/>
  <c r="BY108" i="5"/>
  <c r="CC108" i="5"/>
  <c r="CD108" i="5"/>
  <c r="CG109" i="4"/>
  <c r="CH109" i="4"/>
  <c r="BY105" i="5"/>
  <c r="CC105" i="5"/>
  <c r="CD105" i="5"/>
  <c r="CG106" i="4"/>
  <c r="CH106" i="4"/>
  <c r="BY99" i="5"/>
  <c r="CG100" i="4"/>
  <c r="CH100" i="4"/>
  <c r="BY96" i="5"/>
  <c r="CC96" i="5"/>
  <c r="CD96" i="5"/>
  <c r="CG97" i="4"/>
  <c r="CH97" i="4"/>
  <c r="BY95" i="5"/>
  <c r="CG96" i="4"/>
  <c r="CH96" i="4"/>
  <c r="BY94" i="5"/>
  <c r="CC94" i="5"/>
  <c r="CD94" i="5"/>
  <c r="CG95" i="4"/>
  <c r="CH95" i="4"/>
  <c r="BY75" i="5"/>
  <c r="CC75" i="5"/>
  <c r="CD75" i="5"/>
  <c r="CG76" i="4"/>
  <c r="CH76" i="4"/>
  <c r="BY65" i="5"/>
  <c r="CC65" i="5"/>
  <c r="CD65" i="5"/>
  <c r="CG66" i="4"/>
  <c r="CH66" i="4"/>
  <c r="BY59" i="5"/>
  <c r="CC59" i="5"/>
  <c r="CD59" i="5"/>
  <c r="CG60" i="4"/>
  <c r="CH60" i="4"/>
  <c r="BY58" i="5"/>
  <c r="CC58" i="5"/>
  <c r="CD58" i="5"/>
  <c r="CG59" i="4"/>
  <c r="CH59" i="4"/>
  <c r="BY39" i="5"/>
  <c r="CC39" i="5"/>
  <c r="CD39" i="5"/>
  <c r="CG39" i="4"/>
  <c r="CH39" i="4"/>
  <c r="CA29" i="4"/>
  <c r="CB29" i="4"/>
  <c r="CG29" i="4"/>
  <c r="CH29" i="4"/>
  <c r="BY15" i="5"/>
  <c r="CG15" i="4"/>
  <c r="CH15" i="4"/>
  <c r="F11" i="3"/>
  <c r="AJ17" i="2"/>
  <c r="AJ11" i="3"/>
  <c r="AJ16" i="2"/>
  <c r="AJ10" i="3"/>
  <c r="X11" i="2"/>
  <c r="X5" i="3"/>
  <c r="AM271" i="4"/>
  <c r="BY225" i="5"/>
  <c r="CC225" i="5"/>
  <c r="CD225" i="5"/>
  <c r="CG229" i="4"/>
  <c r="CH229" i="4"/>
  <c r="BY218" i="5"/>
  <c r="CC218" i="5"/>
  <c r="CD218" i="5"/>
  <c r="CG222" i="4"/>
  <c r="CH222" i="4"/>
  <c r="AY217" i="4"/>
  <c r="AZ217" i="4"/>
  <c r="BY209" i="5"/>
  <c r="CC209" i="5"/>
  <c r="CD209" i="5"/>
  <c r="CG213" i="4"/>
  <c r="CH213" i="4"/>
  <c r="AT213" i="4"/>
  <c r="AU213" i="4"/>
  <c r="BC195" i="4"/>
  <c r="BD195" i="4"/>
  <c r="CC200" i="4"/>
  <c r="CC255" i="4"/>
  <c r="BY172" i="5"/>
  <c r="CD172" i="5"/>
  <c r="CG174" i="4"/>
  <c r="CH174" i="4"/>
  <c r="AT171" i="5"/>
  <c r="AU171" i="5"/>
  <c r="AJ159" i="4"/>
  <c r="AJ158" i="5"/>
  <c r="K155" i="4"/>
  <c r="F142" i="4"/>
  <c r="F14" i="2"/>
  <c r="F8" i="3"/>
  <c r="BY139" i="5"/>
  <c r="CC139" i="5"/>
  <c r="CD139" i="5"/>
  <c r="CG140" i="4"/>
  <c r="CH140" i="4"/>
  <c r="CA137" i="4"/>
  <c r="CB137" i="4"/>
  <c r="G129" i="4"/>
  <c r="CM117" i="4"/>
  <c r="BY115" i="5"/>
  <c r="CG116" i="4"/>
  <c r="CH116" i="4"/>
  <c r="BY114" i="5"/>
  <c r="CC114" i="5"/>
  <c r="CD114" i="5"/>
  <c r="CG115" i="4"/>
  <c r="CH115" i="4"/>
  <c r="BW114" i="4"/>
  <c r="BX113" i="5"/>
  <c r="BF114" i="4"/>
  <c r="BG114" i="4"/>
  <c r="BY104" i="5"/>
  <c r="CC104" i="5"/>
  <c r="CD104" i="5"/>
  <c r="CG105" i="4"/>
  <c r="CH105" i="4"/>
  <c r="D104" i="4"/>
  <c r="BY97" i="5"/>
  <c r="CC97" i="5"/>
  <c r="CD97" i="5"/>
  <c r="CG98" i="4"/>
  <c r="CH98" i="4"/>
  <c r="BV96" i="5"/>
  <c r="BY80" i="5"/>
  <c r="CG81" i="4"/>
  <c r="CH81" i="4"/>
  <c r="CF79" i="5"/>
  <c r="CG79" i="5"/>
  <c r="CG79" i="4"/>
  <c r="CH79" i="4"/>
  <c r="AT78" i="5"/>
  <c r="AU78" i="5"/>
  <c r="BY77" i="5"/>
  <c r="CC77" i="5"/>
  <c r="CD77" i="5"/>
  <c r="CG78" i="4"/>
  <c r="CH78" i="4"/>
  <c r="BF71" i="4"/>
  <c r="BG71" i="4"/>
  <c r="BY67" i="5"/>
  <c r="CC67" i="5"/>
  <c r="CD67" i="5"/>
  <c r="CG68" i="4"/>
  <c r="CH68" i="4"/>
  <c r="BY63" i="5"/>
  <c r="BZ63" i="5"/>
  <c r="CA63" i="5"/>
  <c r="CG64" i="4"/>
  <c r="CH64" i="4"/>
  <c r="BM61" i="5"/>
  <c r="BN61" i="5"/>
  <c r="V59" i="4"/>
  <c r="W59" i="4"/>
  <c r="AD48" i="4"/>
  <c r="AD48" i="5"/>
  <c r="AT50" i="5"/>
  <c r="AU50" i="5"/>
  <c r="BY44" i="5"/>
  <c r="CC44" i="5"/>
  <c r="CD44" i="5"/>
  <c r="CG44" i="4"/>
  <c r="CH44" i="4"/>
  <c r="BY40" i="5"/>
  <c r="CC40" i="5"/>
  <c r="CD40" i="5"/>
  <c r="CG40" i="4"/>
  <c r="CH40" i="4"/>
  <c r="BY32" i="5"/>
  <c r="CC32" i="5"/>
  <c r="CD32" i="5"/>
  <c r="CG32" i="4"/>
  <c r="CH32" i="4"/>
  <c r="E32" i="4"/>
  <c r="CA30" i="4"/>
  <c r="CB30" i="4"/>
  <c r="CG30" i="4"/>
  <c r="CH30" i="4"/>
  <c r="BY26" i="5"/>
  <c r="CC26" i="5"/>
  <c r="CD26" i="5"/>
  <c r="CG26" i="4"/>
  <c r="CH26" i="4"/>
  <c r="BY25" i="5"/>
  <c r="K24" i="4"/>
  <c r="BY23" i="5"/>
  <c r="CG23" i="4"/>
  <c r="CH23" i="4"/>
  <c r="CA14" i="4"/>
  <c r="CB14" i="4"/>
  <c r="CG14" i="4"/>
  <c r="CH14" i="4"/>
  <c r="BY8" i="5"/>
  <c r="CG8" i="4"/>
  <c r="CH8" i="4"/>
  <c r="BY216" i="5"/>
  <c r="CG220" i="4"/>
  <c r="CH220" i="4"/>
  <c r="BF217" i="4"/>
  <c r="BG217" i="4"/>
  <c r="BY206" i="5"/>
  <c r="CG210" i="4"/>
  <c r="CH210" i="4"/>
  <c r="BC172" i="4"/>
  <c r="BD172" i="4"/>
  <c r="BY165" i="5"/>
  <c r="CC165" i="5"/>
  <c r="CD165" i="5"/>
  <c r="CG166" i="4"/>
  <c r="CH166" i="4"/>
  <c r="BL157" i="4"/>
  <c r="BU156" i="5"/>
  <c r="BV156" i="5"/>
  <c r="BY154" i="5"/>
  <c r="CC154" i="5"/>
  <c r="CD154" i="5"/>
  <c r="CG155" i="4"/>
  <c r="CH155" i="4"/>
  <c r="BF155" i="4"/>
  <c r="BG155" i="4"/>
  <c r="BY137" i="5"/>
  <c r="CC137" i="5"/>
  <c r="CD137" i="5"/>
  <c r="CG138" i="4"/>
  <c r="CH138" i="4"/>
  <c r="BY112" i="5"/>
  <c r="CC112" i="5"/>
  <c r="CD112" i="5"/>
  <c r="CG113" i="4"/>
  <c r="CH113" i="4"/>
  <c r="BY102" i="5"/>
  <c r="CC102" i="5"/>
  <c r="CD102" i="5"/>
  <c r="CG103" i="4"/>
  <c r="CH103" i="4"/>
  <c r="BY98" i="5"/>
  <c r="CC98" i="5"/>
  <c r="CD98" i="5"/>
  <c r="CG99" i="4"/>
  <c r="CH99" i="4"/>
  <c r="G97" i="4"/>
  <c r="BY93" i="5"/>
  <c r="CC93" i="5"/>
  <c r="CD93" i="5"/>
  <c r="CG94" i="4"/>
  <c r="CH94" i="4"/>
  <c r="BY92" i="5"/>
  <c r="CC92" i="5"/>
  <c r="CD92" i="5"/>
  <c r="CG93" i="4"/>
  <c r="CH93" i="4"/>
  <c r="BY71" i="5"/>
  <c r="CC71" i="5"/>
  <c r="CD71" i="5"/>
  <c r="CG72" i="4"/>
  <c r="CH72" i="4"/>
  <c r="BC70" i="4"/>
  <c r="BD70" i="4"/>
  <c r="BF65" i="4"/>
  <c r="BG65" i="4"/>
  <c r="AY62" i="4"/>
  <c r="AZ62" i="4"/>
  <c r="G59" i="4"/>
  <c r="BY37" i="5"/>
  <c r="CG37" i="4"/>
  <c r="CH37" i="4"/>
  <c r="AS27" i="4"/>
  <c r="AS27" i="5"/>
  <c r="BB27" i="5"/>
  <c r="BC27" i="5"/>
  <c r="AV27" i="5"/>
  <c r="AW27" i="5"/>
  <c r="CB25" i="5"/>
  <c r="BC23" i="4"/>
  <c r="BD23" i="4"/>
  <c r="BF21" i="4"/>
  <c r="BG21" i="4"/>
  <c r="J21" i="4"/>
  <c r="BY214" i="5"/>
  <c r="CC214" i="5"/>
  <c r="CD214" i="5"/>
  <c r="CG218" i="4"/>
  <c r="CH218" i="4"/>
  <c r="BY210" i="5"/>
  <c r="CC210" i="5"/>
  <c r="CD210" i="5"/>
  <c r="CG214" i="4"/>
  <c r="CH214" i="4"/>
  <c r="BY207" i="5"/>
  <c r="BY166" i="5"/>
  <c r="CC166" i="5"/>
  <c r="CD166" i="5"/>
  <c r="CG167" i="4"/>
  <c r="CH167" i="4"/>
  <c r="CB159" i="5"/>
  <c r="CF159" i="5"/>
  <c r="CG159" i="5"/>
  <c r="BY156" i="5"/>
  <c r="CC156" i="5"/>
  <c r="CD156" i="5"/>
  <c r="CG157" i="4"/>
  <c r="CH157" i="4"/>
  <c r="BV138" i="5"/>
  <c r="AA117" i="4"/>
  <c r="BY113" i="5"/>
  <c r="CC113" i="5"/>
  <c r="CD113" i="5"/>
  <c r="CG114" i="4"/>
  <c r="CH114" i="4"/>
  <c r="AY112" i="4"/>
  <c r="AZ112" i="4"/>
  <c r="BY101" i="5"/>
  <c r="CG102" i="4"/>
  <c r="CH102" i="4"/>
  <c r="AE82" i="4"/>
  <c r="BP79" i="4"/>
  <c r="BR79" i="4"/>
  <c r="AT67" i="5"/>
  <c r="AU67" i="5"/>
  <c r="BY66" i="5"/>
  <c r="CC66" i="5"/>
  <c r="CD66" i="5"/>
  <c r="CG67" i="4"/>
  <c r="CH67" i="4"/>
  <c r="F48" i="4"/>
  <c r="F48" i="5"/>
  <c r="BY27" i="5"/>
  <c r="CC27" i="5"/>
  <c r="CD27" i="5"/>
  <c r="CG27" i="4"/>
  <c r="CH27" i="4"/>
  <c r="K15" i="4"/>
  <c r="CA13" i="4"/>
  <c r="CB13" i="4"/>
  <c r="AG165" i="5"/>
  <c r="AH165" i="5"/>
  <c r="AT130" i="5"/>
  <c r="AU130" i="5"/>
  <c r="BV113" i="5"/>
  <c r="BV107" i="5"/>
  <c r="BV97" i="5"/>
  <c r="E132" i="5"/>
  <c r="BV32" i="5"/>
  <c r="AT129" i="5"/>
  <c r="AU129" i="5"/>
  <c r="BV15" i="5"/>
  <c r="I13" i="2"/>
  <c r="I7" i="3"/>
  <c r="BP227" i="5"/>
  <c r="BQ227" i="5"/>
  <c r="BP154" i="5"/>
  <c r="BQ154" i="5"/>
  <c r="AT102" i="5"/>
  <c r="AU102" i="5"/>
  <c r="BP78" i="5"/>
  <c r="BQ78" i="5"/>
  <c r="BV77" i="5"/>
  <c r="AT77" i="5"/>
  <c r="AU77" i="5"/>
  <c r="BV14" i="5"/>
  <c r="BP206" i="5"/>
  <c r="BQ206" i="5"/>
  <c r="BM79" i="5"/>
  <c r="BN79" i="5"/>
  <c r="BM170" i="5"/>
  <c r="BN170" i="5"/>
  <c r="AT167" i="5"/>
  <c r="AU167" i="5"/>
  <c r="AT132" i="5"/>
  <c r="AU132" i="5"/>
  <c r="AT106" i="5"/>
  <c r="AU106" i="5"/>
  <c r="AT61" i="5"/>
  <c r="AU61" i="5"/>
  <c r="AT60" i="5"/>
  <c r="AU60" i="5"/>
  <c r="BP235" i="4"/>
  <c r="BR235" i="4"/>
  <c r="AO255" i="4"/>
  <c r="AO256" i="4"/>
  <c r="BF231" i="4"/>
  <c r="BG231" i="4"/>
  <c r="BV207" i="5"/>
  <c r="G193" i="4"/>
  <c r="J192" i="4"/>
  <c r="AY160" i="4"/>
  <c r="AZ160" i="4"/>
  <c r="J160" i="4"/>
  <c r="BP157" i="4"/>
  <c r="BR157" i="4"/>
  <c r="AJ157" i="4"/>
  <c r="AJ156" i="5"/>
  <c r="K157" i="4"/>
  <c r="E156" i="4"/>
  <c r="O142" i="4"/>
  <c r="D134" i="4"/>
  <c r="BF132" i="4"/>
  <c r="BG132" i="4"/>
  <c r="P131" i="4"/>
  <c r="Q131" i="4"/>
  <c r="J131" i="4"/>
  <c r="J129" i="4"/>
  <c r="K104" i="4"/>
  <c r="CA100" i="4"/>
  <c r="CB100" i="4"/>
  <c r="H97" i="4"/>
  <c r="K96" i="4"/>
  <c r="D93" i="4"/>
  <c r="AX82" i="4"/>
  <c r="AY82" i="4"/>
  <c r="AY71" i="4"/>
  <c r="AZ71" i="4"/>
  <c r="E59" i="4"/>
  <c r="AJ48" i="4"/>
  <c r="BV44" i="5"/>
  <c r="J32" i="4"/>
  <c r="AY24" i="4"/>
  <c r="AZ24" i="4"/>
  <c r="K18" i="4"/>
  <c r="D17" i="4"/>
  <c r="CA8" i="4"/>
  <c r="CB8" i="4"/>
  <c r="CG92" i="5"/>
  <c r="I12" i="2"/>
  <c r="I6" i="3"/>
  <c r="BL235" i="4"/>
  <c r="AY231" i="4"/>
  <c r="AZ231" i="4"/>
  <c r="BM217" i="5"/>
  <c r="BN217" i="5"/>
  <c r="BV213" i="5"/>
  <c r="BP213" i="5"/>
  <c r="BQ213" i="5"/>
  <c r="AE200" i="4"/>
  <c r="I200" i="4"/>
  <c r="I196" i="5"/>
  <c r="D193" i="4"/>
  <c r="BX176" i="4"/>
  <c r="H156" i="4"/>
  <c r="B142" i="4"/>
  <c r="BC69" i="4"/>
  <c r="BD69" i="4"/>
  <c r="BN48" i="4"/>
  <c r="BW48" i="4"/>
  <c r="AX48" i="4"/>
  <c r="BO48" i="5"/>
  <c r="BS48" i="5"/>
  <c r="BT48" i="5"/>
  <c r="O48" i="4"/>
  <c r="O48" i="5"/>
  <c r="P48" i="5"/>
  <c r="Q48" i="5"/>
  <c r="CC48" i="4"/>
  <c r="R13" i="2"/>
  <c r="S13" i="2"/>
  <c r="T13" i="2"/>
  <c r="AJ11" i="2"/>
  <c r="AJ5" i="3"/>
  <c r="H193" i="4"/>
  <c r="BF170" i="4"/>
  <c r="BG170" i="4"/>
  <c r="BL160" i="4"/>
  <c r="BU159" i="5"/>
  <c r="BV159" i="5"/>
  <c r="AY155" i="4"/>
  <c r="AZ155" i="4"/>
  <c r="CA134" i="4"/>
  <c r="CB134" i="4"/>
  <c r="K131" i="4"/>
  <c r="K129" i="4"/>
  <c r="CA116" i="4"/>
  <c r="CB116" i="4"/>
  <c r="BV115" i="5"/>
  <c r="AT115" i="5"/>
  <c r="AU115" i="5"/>
  <c r="AY114" i="4"/>
  <c r="AZ114" i="4"/>
  <c r="BV112" i="5"/>
  <c r="BV109" i="5"/>
  <c r="CA109" i="4"/>
  <c r="CB109" i="4"/>
  <c r="D103" i="5"/>
  <c r="BV102" i="5"/>
  <c r="AY93" i="4"/>
  <c r="AZ93" i="4"/>
  <c r="U82" i="4"/>
  <c r="BP65" i="4"/>
  <c r="BR65" i="4"/>
  <c r="E34" i="4"/>
  <c r="D25" i="4"/>
  <c r="J24" i="4"/>
  <c r="AY21" i="4"/>
  <c r="AZ21" i="4"/>
  <c r="J15" i="4"/>
  <c r="E15" i="4"/>
  <c r="BC13" i="4"/>
  <c r="BD13" i="4"/>
  <c r="AG206" i="5"/>
  <c r="AH206" i="5"/>
  <c r="AG159" i="5"/>
  <c r="AH159" i="5"/>
  <c r="BM157" i="5"/>
  <c r="BN157" i="5"/>
  <c r="BP62" i="5"/>
  <c r="BQ62" i="5"/>
  <c r="AB16" i="2"/>
  <c r="AC16" i="2"/>
  <c r="BW196" i="5"/>
  <c r="AX196" i="5"/>
  <c r="AX198" i="5"/>
  <c r="BE195" i="5"/>
  <c r="M132" i="5"/>
  <c r="BJ69" i="5"/>
  <c r="BE59" i="5"/>
  <c r="BM188" i="5"/>
  <c r="BN188" i="5"/>
  <c r="BV169" i="5"/>
  <c r="AT165" i="5"/>
  <c r="AU165" i="5"/>
  <c r="BM159" i="5"/>
  <c r="BN159" i="5"/>
  <c r="AT159" i="5"/>
  <c r="AU159" i="5"/>
  <c r="AT158" i="5"/>
  <c r="AU158" i="5"/>
  <c r="AT156" i="5"/>
  <c r="AU156" i="5"/>
  <c r="BV135" i="5"/>
  <c r="BV132" i="5"/>
  <c r="BV129" i="5"/>
  <c r="AT112" i="5"/>
  <c r="AU112" i="5"/>
  <c r="BV110" i="5"/>
  <c r="AT107" i="5"/>
  <c r="AU107" i="5"/>
  <c r="AT99" i="5"/>
  <c r="AU99" i="5"/>
  <c r="BV98" i="5"/>
  <c r="AT94" i="5"/>
  <c r="AU94" i="5"/>
  <c r="AT93" i="5"/>
  <c r="AU93" i="5"/>
  <c r="BV80" i="5"/>
  <c r="AT80" i="5"/>
  <c r="AU80" i="5"/>
  <c r="BV74" i="5"/>
  <c r="AT74" i="5"/>
  <c r="AU74" i="5"/>
  <c r="AT73" i="5"/>
  <c r="AU73" i="5"/>
  <c r="BM70" i="5"/>
  <c r="BN70" i="5"/>
  <c r="AT70" i="5"/>
  <c r="AU70" i="5"/>
  <c r="BV66" i="5"/>
  <c r="BV60" i="5"/>
  <c r="AT31" i="5"/>
  <c r="AU31" i="5"/>
  <c r="BV21" i="5"/>
  <c r="BV17" i="5"/>
  <c r="P210" i="5"/>
  <c r="Q210" i="5"/>
  <c r="G208" i="5"/>
  <c r="BE193" i="5"/>
  <c r="BE187" i="5"/>
  <c r="BK137" i="5"/>
  <c r="Y129" i="5"/>
  <c r="Z129" i="5"/>
  <c r="G98" i="5"/>
  <c r="BM97" i="5"/>
  <c r="BN97" i="5"/>
  <c r="BE69" i="5"/>
  <c r="BE63" i="5"/>
  <c r="AZ61" i="5"/>
  <c r="AZ58" i="5"/>
  <c r="AZ59" i="5"/>
  <c r="AZ65" i="5"/>
  <c r="AZ68" i="5"/>
  <c r="AZ70" i="5"/>
  <c r="AZ73" i="5"/>
  <c r="AZ81" i="5"/>
  <c r="BK60" i="5"/>
  <c r="G59" i="5"/>
  <c r="BK58" i="5"/>
  <c r="E208" i="5"/>
  <c r="BY159" i="5"/>
  <c r="CC159" i="5"/>
  <c r="CD159" i="5"/>
  <c r="CA160" i="4"/>
  <c r="CB160" i="4"/>
  <c r="AS191" i="4"/>
  <c r="AT191" i="4"/>
  <c r="AU191" i="4"/>
  <c r="O154" i="5"/>
  <c r="S154" i="5"/>
  <c r="T154" i="5"/>
  <c r="P155" i="4"/>
  <c r="Q155" i="4"/>
  <c r="F154" i="5"/>
  <c r="G154" i="5"/>
  <c r="G155" i="4"/>
  <c r="BL136" i="5"/>
  <c r="BM136" i="5"/>
  <c r="BN136" i="5"/>
  <c r="BC137" i="4"/>
  <c r="BD137" i="4"/>
  <c r="C135" i="5"/>
  <c r="E135" i="5"/>
  <c r="D136" i="4"/>
  <c r="F133" i="5"/>
  <c r="G133" i="5"/>
  <c r="H134" i="4"/>
  <c r="C131" i="5"/>
  <c r="G131" i="5"/>
  <c r="D132" i="4"/>
  <c r="L130" i="5"/>
  <c r="N130" i="5"/>
  <c r="L142" i="4"/>
  <c r="BY128" i="5"/>
  <c r="C128" i="5"/>
  <c r="D128" i="5"/>
  <c r="C142" i="4"/>
  <c r="C141" i="5"/>
  <c r="BL111" i="5"/>
  <c r="BV111" i="5"/>
  <c r="BC112" i="4"/>
  <c r="BD112" i="4"/>
  <c r="BY100" i="5"/>
  <c r="CC100" i="5"/>
  <c r="CD100" i="5"/>
  <c r="CA101" i="4"/>
  <c r="CB101" i="4"/>
  <c r="BL93" i="5"/>
  <c r="BM93" i="5"/>
  <c r="BN93" i="5"/>
  <c r="BC94" i="4"/>
  <c r="BD94" i="4"/>
  <c r="F93" i="5"/>
  <c r="J93" i="5"/>
  <c r="J94" i="4"/>
  <c r="F92" i="5"/>
  <c r="H92" i="5"/>
  <c r="G93" i="4"/>
  <c r="L75" i="5"/>
  <c r="M75" i="5"/>
  <c r="L82" i="4"/>
  <c r="L81" i="5"/>
  <c r="BY73" i="5"/>
  <c r="CC73" i="5"/>
  <c r="CD73" i="5"/>
  <c r="C68" i="5"/>
  <c r="G68" i="5"/>
  <c r="E69" i="4"/>
  <c r="I65" i="5"/>
  <c r="J66" i="4"/>
  <c r="I63" i="5"/>
  <c r="F63" i="5"/>
  <c r="K63" i="5"/>
  <c r="M63" i="5"/>
  <c r="J64" i="4"/>
  <c r="I35" i="5"/>
  <c r="K35" i="5"/>
  <c r="J35" i="4"/>
  <c r="I25" i="5"/>
  <c r="M25" i="5"/>
  <c r="K25" i="4"/>
  <c r="C24" i="5"/>
  <c r="D24" i="4"/>
  <c r="C48" i="4"/>
  <c r="C48" i="5"/>
  <c r="B23" i="5"/>
  <c r="D23" i="5"/>
  <c r="D23" i="4"/>
  <c r="F21" i="5"/>
  <c r="J21" i="5"/>
  <c r="K21" i="4"/>
  <c r="R18" i="5"/>
  <c r="S18" i="5"/>
  <c r="T18" i="5"/>
  <c r="S18" i="4"/>
  <c r="T18" i="4"/>
  <c r="F17" i="5"/>
  <c r="G17" i="5"/>
  <c r="G18" i="4"/>
  <c r="I13" i="5"/>
  <c r="J13" i="4"/>
  <c r="I48" i="4"/>
  <c r="BY10" i="5"/>
  <c r="CC10" i="5"/>
  <c r="CD10" i="5"/>
  <c r="CA10" i="4"/>
  <c r="CB10" i="4"/>
  <c r="BY9" i="5"/>
  <c r="CA9" i="4"/>
  <c r="CB9" i="4"/>
  <c r="AI48" i="4"/>
  <c r="C17" i="2"/>
  <c r="C11" i="3"/>
  <c r="AX235" i="4"/>
  <c r="BO231" i="5"/>
  <c r="BP231" i="5"/>
  <c r="BQ231" i="5"/>
  <c r="BM232" i="4"/>
  <c r="BQ232" i="4"/>
  <c r="BF227" i="4"/>
  <c r="BG227" i="4"/>
  <c r="AY227" i="4"/>
  <c r="AZ227" i="4"/>
  <c r="AT227" i="4"/>
  <c r="AU227" i="4"/>
  <c r="CA218" i="4"/>
  <c r="CB218" i="4"/>
  <c r="CA213" i="4"/>
  <c r="CB213" i="4"/>
  <c r="AT212" i="4"/>
  <c r="AU212" i="4"/>
  <c r="CA210" i="4"/>
  <c r="CB210" i="4"/>
  <c r="BC210" i="4"/>
  <c r="BD210" i="4"/>
  <c r="AS210" i="4"/>
  <c r="BN200" i="4"/>
  <c r="BB200" i="4"/>
  <c r="C200" i="4"/>
  <c r="C196" i="5"/>
  <c r="J195" i="4"/>
  <c r="BC194" i="4"/>
  <c r="BD194" i="4"/>
  <c r="AS194" i="4"/>
  <c r="AS190" i="5"/>
  <c r="AV190" i="5"/>
  <c r="AW190" i="5"/>
  <c r="BX200" i="4"/>
  <c r="BF193" i="4"/>
  <c r="BG193" i="4"/>
  <c r="BC193" i="4"/>
  <c r="BD193" i="4"/>
  <c r="AS193" i="4"/>
  <c r="AV193" i="4"/>
  <c r="AW193" i="4"/>
  <c r="K193" i="4"/>
  <c r="AY192" i="4"/>
  <c r="AZ192" i="4"/>
  <c r="BC191" i="4"/>
  <c r="BD191" i="4"/>
  <c r="J191" i="4"/>
  <c r="BE176" i="4"/>
  <c r="AJ15" i="2"/>
  <c r="AJ9" i="3"/>
  <c r="AN176" i="4"/>
  <c r="AN255" i="4"/>
  <c r="U176" i="4"/>
  <c r="U174" i="5"/>
  <c r="BC171" i="4"/>
  <c r="BD171" i="4"/>
  <c r="J166" i="4"/>
  <c r="K161" i="4"/>
  <c r="BC160" i="4"/>
  <c r="BD160" i="4"/>
  <c r="BP159" i="4"/>
  <c r="BR159" i="4"/>
  <c r="BF159" i="4"/>
  <c r="BG159" i="4"/>
  <c r="BC159" i="4"/>
  <c r="BD159" i="4"/>
  <c r="AY157" i="4"/>
  <c r="AZ157" i="4"/>
  <c r="V157" i="4"/>
  <c r="W157" i="4"/>
  <c r="S157" i="4"/>
  <c r="T157" i="4"/>
  <c r="J157" i="4"/>
  <c r="G157" i="4"/>
  <c r="D156" i="4"/>
  <c r="BC155" i="4"/>
  <c r="BD155" i="4"/>
  <c r="V155" i="4"/>
  <c r="I154" i="5"/>
  <c r="N154" i="5"/>
  <c r="M154" i="5"/>
  <c r="J155" i="4"/>
  <c r="H136" i="4"/>
  <c r="E136" i="4"/>
  <c r="BL133" i="5"/>
  <c r="BV133" i="5"/>
  <c r="BC134" i="4"/>
  <c r="BD134" i="4"/>
  <c r="B133" i="5"/>
  <c r="D133" i="5"/>
  <c r="E134" i="4"/>
  <c r="AD131" i="5"/>
  <c r="AD142" i="4"/>
  <c r="AD141" i="5"/>
  <c r="H132" i="4"/>
  <c r="F117" i="4"/>
  <c r="F13" i="2"/>
  <c r="J13" i="2"/>
  <c r="K13" i="2"/>
  <c r="AF113" i="5"/>
  <c r="BM113" i="5"/>
  <c r="BN113" i="5"/>
  <c r="AG114" i="4"/>
  <c r="AH114" i="4"/>
  <c r="BL104" i="5"/>
  <c r="AS105" i="4"/>
  <c r="AV105" i="4"/>
  <c r="AW105" i="4"/>
  <c r="BC105" i="4"/>
  <c r="BD105" i="4"/>
  <c r="AR100" i="5"/>
  <c r="AT100" i="5"/>
  <c r="AU100" i="5"/>
  <c r="AS101" i="4"/>
  <c r="AS100" i="5"/>
  <c r="AV100" i="5"/>
  <c r="BL95" i="5"/>
  <c r="BM95" i="5"/>
  <c r="BN95" i="5"/>
  <c r="BC96" i="4"/>
  <c r="BD96" i="4"/>
  <c r="K94" i="4"/>
  <c r="C93" i="5"/>
  <c r="E93" i="5"/>
  <c r="E94" i="4"/>
  <c r="H93" i="4"/>
  <c r="B92" i="5"/>
  <c r="D92" i="5"/>
  <c r="E93" i="4"/>
  <c r="B117" i="4"/>
  <c r="B116" i="5"/>
  <c r="C82" i="4"/>
  <c r="BY76" i="5"/>
  <c r="CC76" i="5"/>
  <c r="CD76" i="5"/>
  <c r="BO68" i="5"/>
  <c r="BP68" i="5"/>
  <c r="BQ68" i="5"/>
  <c r="AY69" i="4"/>
  <c r="AZ69" i="4"/>
  <c r="K66" i="4"/>
  <c r="F65" i="5"/>
  <c r="H65" i="5"/>
  <c r="G66" i="4"/>
  <c r="BM63" i="5"/>
  <c r="BN63" i="5"/>
  <c r="BC64" i="4"/>
  <c r="BD64" i="4"/>
  <c r="X63" i="5"/>
  <c r="AB63" i="5"/>
  <c r="AC63" i="5"/>
  <c r="X82" i="4"/>
  <c r="X81" i="5"/>
  <c r="K64" i="4"/>
  <c r="G64" i="4"/>
  <c r="F82" i="4"/>
  <c r="B63" i="5"/>
  <c r="E63" i="5"/>
  <c r="B82" i="4"/>
  <c r="BM59" i="5"/>
  <c r="BN59" i="5"/>
  <c r="BC60" i="4"/>
  <c r="BD60" i="4"/>
  <c r="BM58" i="5"/>
  <c r="BN58" i="5"/>
  <c r="BB82" i="4"/>
  <c r="R58" i="5"/>
  <c r="S58" i="5"/>
  <c r="T58" i="5"/>
  <c r="R82" i="4"/>
  <c r="R12" i="2"/>
  <c r="C58" i="5"/>
  <c r="D58" i="5"/>
  <c r="D59" i="4"/>
  <c r="H59" i="4"/>
  <c r="AF48" i="5"/>
  <c r="AV50" i="4"/>
  <c r="AW50" i="4"/>
  <c r="B48" i="4"/>
  <c r="BL37" i="5"/>
  <c r="BM37" i="5"/>
  <c r="BN37" i="5"/>
  <c r="AS37" i="4"/>
  <c r="BP35" i="4"/>
  <c r="BR35" i="4"/>
  <c r="BO48" i="4"/>
  <c r="BP48" i="4"/>
  <c r="BR48" i="4"/>
  <c r="F25" i="5"/>
  <c r="K25" i="5"/>
  <c r="H25" i="4"/>
  <c r="BL24" i="5"/>
  <c r="BC24" i="4"/>
  <c r="BD24" i="4"/>
  <c r="H24" i="4"/>
  <c r="E24" i="4"/>
  <c r="E23" i="4"/>
  <c r="BY22" i="5"/>
  <c r="CC22" i="5"/>
  <c r="CA22" i="4"/>
  <c r="CB22" i="4"/>
  <c r="AR19" i="5"/>
  <c r="AT19" i="5"/>
  <c r="AU19" i="5"/>
  <c r="AS19" i="4"/>
  <c r="AS19" i="5"/>
  <c r="U18" i="5"/>
  <c r="Y18" i="5"/>
  <c r="Z18" i="5"/>
  <c r="Y18" i="4"/>
  <c r="Z18" i="4"/>
  <c r="U48" i="4"/>
  <c r="Y48" i="4"/>
  <c r="Z48" i="4"/>
  <c r="I17" i="5"/>
  <c r="M17" i="5"/>
  <c r="J18" i="4"/>
  <c r="K13" i="4"/>
  <c r="F13" i="5"/>
  <c r="G13" i="4"/>
  <c r="AF10" i="5"/>
  <c r="BM10" i="5"/>
  <c r="BN10" i="5"/>
  <c r="AG10" i="4"/>
  <c r="AH10" i="4"/>
  <c r="AA10" i="5"/>
  <c r="AB10" i="5"/>
  <c r="AC10" i="5"/>
  <c r="AA48" i="4"/>
  <c r="AA48" i="5"/>
  <c r="AB48" i="5"/>
  <c r="AC48" i="5"/>
  <c r="AR7" i="5"/>
  <c r="AT7" i="5"/>
  <c r="AU7" i="5"/>
  <c r="AS7" i="4"/>
  <c r="AS7" i="5"/>
  <c r="BB7" i="5"/>
  <c r="AF7" i="5"/>
  <c r="BC7" i="5"/>
  <c r="BC129" i="4"/>
  <c r="BD129" i="4"/>
  <c r="BC104" i="4"/>
  <c r="BD104" i="4"/>
  <c r="BC93" i="4"/>
  <c r="BD93" i="4"/>
  <c r="CF78" i="5"/>
  <c r="CG78" i="5"/>
  <c r="BC71" i="4"/>
  <c r="BD71" i="4"/>
  <c r="BM68" i="5"/>
  <c r="BN68" i="5"/>
  <c r="AT68" i="5"/>
  <c r="AU68" i="5"/>
  <c r="V63" i="5"/>
  <c r="W63" i="5"/>
  <c r="BC62" i="4"/>
  <c r="BD62" i="4"/>
  <c r="BP60" i="5"/>
  <c r="BQ60" i="5"/>
  <c r="AT59" i="5"/>
  <c r="AU59" i="5"/>
  <c r="BC59" i="4"/>
  <c r="BD59" i="4"/>
  <c r="BV38" i="5"/>
  <c r="BC37" i="4"/>
  <c r="BD37" i="4"/>
  <c r="BC35" i="4"/>
  <c r="BD35" i="4"/>
  <c r="AT35" i="5"/>
  <c r="AU35" i="5"/>
  <c r="BC32" i="4"/>
  <c r="BD32" i="4"/>
  <c r="AT32" i="5"/>
  <c r="AU32" i="5"/>
  <c r="AT27" i="5"/>
  <c r="AU27" i="5"/>
  <c r="AT226" i="5"/>
  <c r="AU226" i="5"/>
  <c r="AT214" i="5"/>
  <c r="AU214" i="5"/>
  <c r="BK214" i="5"/>
  <c r="BS211" i="5"/>
  <c r="BT211" i="5"/>
  <c r="AT210" i="5"/>
  <c r="AU210" i="5"/>
  <c r="AG209" i="5"/>
  <c r="AH209" i="5"/>
  <c r="S209" i="5"/>
  <c r="T209" i="5"/>
  <c r="AT208" i="5"/>
  <c r="AU208" i="5"/>
  <c r="AG207" i="5"/>
  <c r="AH207" i="5"/>
  <c r="S207" i="5"/>
  <c r="T207" i="5"/>
  <c r="AG190" i="5"/>
  <c r="AH190" i="5"/>
  <c r="S188" i="5"/>
  <c r="T188" i="5"/>
  <c r="AG172" i="5"/>
  <c r="AH172" i="5"/>
  <c r="BK169" i="5"/>
  <c r="BM168" i="5"/>
  <c r="BN168" i="5"/>
  <c r="V166" i="5"/>
  <c r="W166" i="5"/>
  <c r="AB165" i="5"/>
  <c r="AC165" i="5"/>
  <c r="AG162" i="5"/>
  <c r="AH162" i="5"/>
  <c r="G162" i="5"/>
  <c r="BK157" i="5"/>
  <c r="BK154" i="5"/>
  <c r="BZ113" i="5"/>
  <c r="CA113" i="5"/>
  <c r="BK103" i="5"/>
  <c r="V102" i="5"/>
  <c r="W102" i="5"/>
  <c r="G75" i="5"/>
  <c r="D75" i="5"/>
  <c r="V71" i="5"/>
  <c r="W71" i="5"/>
  <c r="S64" i="5"/>
  <c r="BM39" i="5"/>
  <c r="BN39" i="5"/>
  <c r="CC35" i="5"/>
  <c r="CD35" i="5"/>
  <c r="BP35" i="5"/>
  <c r="BQ35" i="5"/>
  <c r="AG31" i="5"/>
  <c r="AH31" i="5"/>
  <c r="AG29" i="5"/>
  <c r="AH29" i="5"/>
  <c r="AG28" i="5"/>
  <c r="AH28" i="5"/>
  <c r="N23" i="5"/>
  <c r="AG12" i="5"/>
  <c r="AH12" i="5"/>
  <c r="BK10" i="5"/>
  <c r="BK7" i="5"/>
  <c r="Y7" i="5"/>
  <c r="Z7" i="5"/>
  <c r="D243" i="5"/>
  <c r="J242" i="5"/>
  <c r="BM225" i="5"/>
  <c r="BN225" i="5"/>
  <c r="AT225" i="5"/>
  <c r="AU225" i="5"/>
  <c r="V192" i="5"/>
  <c r="W192" i="5"/>
  <c r="P192" i="5"/>
  <c r="Q192" i="5"/>
  <c r="AT190" i="5"/>
  <c r="AU190" i="5"/>
  <c r="D245" i="5"/>
  <c r="Y222" i="5"/>
  <c r="S219" i="5"/>
  <c r="T219" i="5"/>
  <c r="BS216" i="5"/>
  <c r="BT216" i="5"/>
  <c r="BK216" i="5"/>
  <c r="AG216" i="5"/>
  <c r="AH216" i="5"/>
  <c r="S169" i="5"/>
  <c r="T169" i="5"/>
  <c r="G167" i="5"/>
  <c r="BK62" i="5"/>
  <c r="BV190" i="5"/>
  <c r="H248" i="5"/>
  <c r="D238" i="5"/>
  <c r="BK224" i="5"/>
  <c r="AT223" i="5"/>
  <c r="AU223" i="5"/>
  <c r="AT216" i="5"/>
  <c r="AU216" i="5"/>
  <c r="BP212" i="5"/>
  <c r="BQ212" i="5"/>
  <c r="Y210" i="5"/>
  <c r="Z210" i="5"/>
  <c r="K210" i="5"/>
  <c r="M208" i="5"/>
  <c r="H206" i="5"/>
  <c r="J190" i="5"/>
  <c r="BK188" i="5"/>
  <c r="P187" i="5"/>
  <c r="Q187" i="5"/>
  <c r="G187" i="5"/>
  <c r="AB159" i="5"/>
  <c r="AC159" i="5"/>
  <c r="P134" i="5"/>
  <c r="P133" i="5"/>
  <c r="Q133" i="5"/>
  <c r="Y32" i="5"/>
  <c r="Z32" i="5"/>
  <c r="BK23" i="5"/>
  <c r="BK18" i="5"/>
  <c r="BK16" i="5"/>
  <c r="BK15" i="5"/>
  <c r="BK192" i="5"/>
  <c r="AG192" i="5"/>
  <c r="AH192" i="5"/>
  <c r="E162" i="5"/>
  <c r="Y138" i="5"/>
  <c r="Y108" i="5"/>
  <c r="P107" i="5"/>
  <c r="Q107" i="5"/>
  <c r="J105" i="5"/>
  <c r="P104" i="5"/>
  <c r="Q104" i="5"/>
  <c r="BK100" i="5"/>
  <c r="G76" i="5"/>
  <c r="BK73" i="5"/>
  <c r="P73" i="5"/>
  <c r="Q73" i="5"/>
  <c r="BK71" i="5"/>
  <c r="J70" i="5"/>
  <c r="BK67" i="5"/>
  <c r="BK36" i="5"/>
  <c r="E28" i="5"/>
  <c r="BS9" i="5"/>
  <c r="BT9" i="5"/>
  <c r="BM223" i="5"/>
  <c r="BN223" i="5"/>
  <c r="BP157" i="5"/>
  <c r="BQ157" i="5"/>
  <c r="BP155" i="5"/>
  <c r="BQ155" i="5"/>
  <c r="BM127" i="5"/>
  <c r="BN127" i="5"/>
  <c r="BP65" i="5"/>
  <c r="BQ65" i="5"/>
  <c r="BM64" i="5"/>
  <c r="BN64" i="5"/>
  <c r="AG167" i="5"/>
  <c r="AH167" i="5"/>
  <c r="AB163" i="5"/>
  <c r="AC163" i="5"/>
  <c r="AG132" i="5"/>
  <c r="AH132" i="5"/>
  <c r="AG109" i="5"/>
  <c r="AH109" i="5"/>
  <c r="AG61" i="5"/>
  <c r="AH61" i="5"/>
  <c r="AB61" i="5"/>
  <c r="AC61" i="5"/>
  <c r="Y211" i="5"/>
  <c r="AB131" i="5"/>
  <c r="AC131" i="5"/>
  <c r="AB103" i="5"/>
  <c r="AC103" i="5"/>
  <c r="Y8" i="5"/>
  <c r="Z8" i="5"/>
  <c r="Y107" i="5"/>
  <c r="Z107" i="5"/>
  <c r="Y104" i="5"/>
  <c r="Z104" i="5"/>
  <c r="Y97" i="5"/>
  <c r="Z97" i="5"/>
  <c r="V64" i="5"/>
  <c r="W64" i="5"/>
  <c r="Y60" i="5"/>
  <c r="Z60" i="5"/>
  <c r="V190" i="5"/>
  <c r="V30" i="5"/>
  <c r="W30" i="5"/>
  <c r="S222" i="5"/>
  <c r="S14" i="5"/>
  <c r="T14" i="5"/>
  <c r="P218" i="5"/>
  <c r="P110" i="5"/>
  <c r="P99" i="5"/>
  <c r="Q99" i="5"/>
  <c r="P93" i="5"/>
  <c r="Q93" i="5"/>
  <c r="P76" i="5"/>
  <c r="Q76" i="5"/>
  <c r="J100" i="5"/>
  <c r="BS219" i="5"/>
  <c r="BT219" i="5"/>
  <c r="BS167" i="5"/>
  <c r="BT167" i="5"/>
  <c r="BS137" i="5"/>
  <c r="BT137" i="5"/>
  <c r="BS13" i="5"/>
  <c r="BT13" i="5"/>
  <c r="BS191" i="5"/>
  <c r="BT191" i="5"/>
  <c r="BP134" i="5"/>
  <c r="BQ134" i="5"/>
  <c r="BP44" i="5"/>
  <c r="BQ44" i="5"/>
  <c r="BV170" i="5"/>
  <c r="BP160" i="5"/>
  <c r="BQ160" i="5"/>
  <c r="BM74" i="5"/>
  <c r="BN74" i="5"/>
  <c r="BS11" i="5"/>
  <c r="BT11" i="5"/>
  <c r="AV227" i="5"/>
  <c r="AW227" i="5"/>
  <c r="BP223" i="5"/>
  <c r="BQ223" i="5"/>
  <c r="AV215" i="5"/>
  <c r="AW215" i="5"/>
  <c r="AV208" i="5"/>
  <c r="BP188" i="5"/>
  <c r="BQ188" i="5"/>
  <c r="BP92" i="5"/>
  <c r="BQ92" i="5"/>
  <c r="BP70" i="5"/>
  <c r="BQ70" i="5"/>
  <c r="BM69" i="5"/>
  <c r="BN69" i="5"/>
  <c r="BP21" i="5"/>
  <c r="BQ21" i="5"/>
  <c r="BM227" i="5"/>
  <c r="BN227" i="5"/>
  <c r="BP222" i="5"/>
  <c r="BQ222" i="5"/>
  <c r="BP221" i="5"/>
  <c r="BQ221" i="5"/>
  <c r="BM218" i="5"/>
  <c r="BN218" i="5"/>
  <c r="BM134" i="5"/>
  <c r="BN134" i="5"/>
  <c r="BP100" i="5"/>
  <c r="BQ100" i="5"/>
  <c r="BM71" i="5"/>
  <c r="BN71" i="5"/>
  <c r="BM31" i="5"/>
  <c r="BN31" i="5"/>
  <c r="BP28" i="5"/>
  <c r="BQ28" i="5"/>
  <c r="AG224" i="5"/>
  <c r="AH224" i="5"/>
  <c r="AG221" i="5"/>
  <c r="AH221" i="5"/>
  <c r="AB221" i="5"/>
  <c r="AC221" i="5"/>
  <c r="AG218" i="5"/>
  <c r="AH218" i="5"/>
  <c r="AG215" i="5"/>
  <c r="AH215" i="5"/>
  <c r="AG115" i="5"/>
  <c r="AH115" i="5"/>
  <c r="AG105" i="5"/>
  <c r="AH105" i="5"/>
  <c r="AG72" i="5"/>
  <c r="AH72" i="5"/>
  <c r="AG32" i="5"/>
  <c r="AH32" i="5"/>
  <c r="AG27" i="5"/>
  <c r="AH27" i="5"/>
  <c r="AB58" i="5"/>
  <c r="AC58" i="5"/>
  <c r="Y213" i="5"/>
  <c r="AB195" i="5"/>
  <c r="AC195" i="5"/>
  <c r="AB170" i="5"/>
  <c r="AC170" i="5"/>
  <c r="AB162" i="5"/>
  <c r="AC162" i="5"/>
  <c r="AB161" i="5"/>
  <c r="AC161" i="5"/>
  <c r="AB157" i="5"/>
  <c r="AC157" i="5"/>
  <c r="AB155" i="5"/>
  <c r="AC155" i="5"/>
  <c r="AB95" i="5"/>
  <c r="AC95" i="5"/>
  <c r="AB93" i="5"/>
  <c r="AC93" i="5"/>
  <c r="AB76" i="5"/>
  <c r="AC76" i="5"/>
  <c r="AB73" i="5"/>
  <c r="AC73" i="5"/>
  <c r="AB16" i="5"/>
  <c r="AC16" i="5"/>
  <c r="AB13" i="5"/>
  <c r="AC13" i="5"/>
  <c r="AB222" i="5"/>
  <c r="AC222" i="5"/>
  <c r="AB104" i="5"/>
  <c r="AC104" i="5"/>
  <c r="AB20" i="5"/>
  <c r="AC20" i="5"/>
  <c r="Y10" i="5"/>
  <c r="Z10" i="5"/>
  <c r="Y219" i="5"/>
  <c r="Z219" i="5"/>
  <c r="V212" i="5"/>
  <c r="Y209" i="5"/>
  <c r="Z209" i="5"/>
  <c r="Y161" i="5"/>
  <c r="Z161" i="5"/>
  <c r="V106" i="5"/>
  <c r="W106" i="5"/>
  <c r="Y94" i="5"/>
  <c r="Z94" i="5"/>
  <c r="Y92" i="5"/>
  <c r="Z92" i="5"/>
  <c r="Y74" i="5"/>
  <c r="Z74" i="5"/>
  <c r="Y73" i="5"/>
  <c r="Z73" i="5"/>
  <c r="Y70" i="5"/>
  <c r="Z70" i="5"/>
  <c r="Y35" i="5"/>
  <c r="Z35" i="5"/>
  <c r="Y9" i="5"/>
  <c r="Z9" i="5"/>
  <c r="S221" i="5"/>
  <c r="V191" i="5"/>
  <c r="W191" i="5"/>
  <c r="V189" i="5"/>
  <c r="W189" i="5"/>
  <c r="V167" i="5"/>
  <c r="W167" i="5"/>
  <c r="V132" i="5"/>
  <c r="W132" i="5"/>
  <c r="S132" i="5"/>
  <c r="T132" i="5"/>
  <c r="S128" i="5"/>
  <c r="T128" i="5"/>
  <c r="V111" i="5"/>
  <c r="W111" i="5"/>
  <c r="V99" i="5"/>
  <c r="W99" i="5"/>
  <c r="V94" i="5"/>
  <c r="W94" i="5"/>
  <c r="V92" i="5"/>
  <c r="W92" i="5"/>
  <c r="V75" i="5"/>
  <c r="W75" i="5"/>
  <c r="S74" i="5"/>
  <c r="T74" i="5"/>
  <c r="V69" i="5"/>
  <c r="V67" i="5"/>
  <c r="W67" i="5"/>
  <c r="V35" i="5"/>
  <c r="W35" i="5"/>
  <c r="S214" i="5"/>
  <c r="T214" i="5"/>
  <c r="S193" i="5"/>
  <c r="T193" i="5"/>
  <c r="S191" i="5"/>
  <c r="T191" i="5"/>
  <c r="S189" i="5"/>
  <c r="T189" i="5"/>
  <c r="S165" i="5"/>
  <c r="T165" i="5"/>
  <c r="S163" i="5"/>
  <c r="T163" i="5"/>
  <c r="S162" i="5"/>
  <c r="T162" i="5"/>
  <c r="S131" i="5"/>
  <c r="T131" i="5"/>
  <c r="S61" i="5"/>
  <c r="T61" i="5"/>
  <c r="S59" i="5"/>
  <c r="T59" i="5"/>
  <c r="S24" i="5"/>
  <c r="T24" i="5"/>
  <c r="M128" i="5"/>
  <c r="M213" i="5"/>
  <c r="M211" i="5"/>
  <c r="P155" i="5"/>
  <c r="Q155" i="5"/>
  <c r="P129" i="5"/>
  <c r="P69" i="5"/>
  <c r="P28" i="5"/>
  <c r="Q28" i="5"/>
  <c r="M24" i="5"/>
  <c r="P9" i="5"/>
  <c r="Q9" i="5"/>
  <c r="P8" i="5"/>
  <c r="Q8" i="5"/>
  <c r="J218" i="5"/>
  <c r="M167" i="5"/>
  <c r="N102" i="5"/>
  <c r="J223" i="5"/>
  <c r="J212" i="5"/>
  <c r="M190" i="5"/>
  <c r="M8" i="5"/>
  <c r="J222" i="5"/>
  <c r="J104" i="5"/>
  <c r="H75" i="5"/>
  <c r="G71" i="5"/>
  <c r="K70" i="5"/>
  <c r="K67" i="5"/>
  <c r="D212" i="5"/>
  <c r="G164" i="5"/>
  <c r="E102" i="5"/>
  <c r="E67" i="5"/>
  <c r="D163" i="5"/>
  <c r="E206" i="5"/>
  <c r="H246" i="5"/>
  <c r="O12" i="2"/>
  <c r="O6" i="3"/>
  <c r="BM154" i="5"/>
  <c r="BN154" i="5"/>
  <c r="BV71" i="5"/>
  <c r="CC24" i="5"/>
  <c r="CD24" i="5"/>
  <c r="AT21" i="5"/>
  <c r="AU21" i="5"/>
  <c r="BV16" i="5"/>
  <c r="BK220" i="5"/>
  <c r="E74" i="5"/>
  <c r="AG73" i="5"/>
  <c r="AH73" i="5"/>
  <c r="AG64" i="5"/>
  <c r="AH64" i="5"/>
  <c r="E31" i="5"/>
  <c r="E8" i="5"/>
  <c r="M17" i="2"/>
  <c r="U13" i="2"/>
  <c r="U7" i="3"/>
  <c r="J235" i="4"/>
  <c r="AV223" i="5"/>
  <c r="AW223" i="5"/>
  <c r="BV219" i="5"/>
  <c r="BV216" i="5"/>
  <c r="BV215" i="5"/>
  <c r="AT217" i="4"/>
  <c r="AU217" i="4"/>
  <c r="AV209" i="5"/>
  <c r="AW209" i="5"/>
  <c r="BV157" i="5"/>
  <c r="AT157" i="5"/>
  <c r="AU157" i="5"/>
  <c r="S156" i="5"/>
  <c r="T156" i="5"/>
  <c r="BP136" i="5"/>
  <c r="BQ136" i="5"/>
  <c r="AT133" i="5"/>
  <c r="AU133" i="5"/>
  <c r="BM130" i="5"/>
  <c r="BN130" i="5"/>
  <c r="BP128" i="5"/>
  <c r="BQ128" i="5"/>
  <c r="AT118" i="5"/>
  <c r="AU118" i="5"/>
  <c r="AT104" i="5"/>
  <c r="AU104" i="5"/>
  <c r="BV100" i="5"/>
  <c r="BV79" i="5"/>
  <c r="BV73" i="5"/>
  <c r="BV68" i="5"/>
  <c r="AT62" i="5"/>
  <c r="AU62" i="5"/>
  <c r="BV31" i="5"/>
  <c r="BV29" i="5"/>
  <c r="P18" i="5"/>
  <c r="Q18" i="5"/>
  <c r="BP172" i="5"/>
  <c r="BQ172" i="5"/>
  <c r="X152" i="5"/>
  <c r="Y171" i="5"/>
  <c r="BM132" i="5"/>
  <c r="BN132" i="5"/>
  <c r="Y105" i="5"/>
  <c r="AG94" i="5"/>
  <c r="AH94" i="5"/>
  <c r="BS74" i="5"/>
  <c r="BT74" i="5"/>
  <c r="BZ74" i="5"/>
  <c r="CA74" i="5"/>
  <c r="AG195" i="5"/>
  <c r="AH195" i="5"/>
  <c r="BM190" i="5"/>
  <c r="BN190" i="5"/>
  <c r="N159" i="5"/>
  <c r="AT134" i="5"/>
  <c r="AU134" i="5"/>
  <c r="BM220" i="5"/>
  <c r="BN220" i="5"/>
  <c r="BK133" i="5"/>
  <c r="BK102" i="5"/>
  <c r="BK101" i="5"/>
  <c r="H73" i="5"/>
  <c r="BM34" i="5"/>
  <c r="BN34" i="5"/>
  <c r="BM30" i="5"/>
  <c r="BN30" i="5"/>
  <c r="L17" i="2"/>
  <c r="L11" i="3"/>
  <c r="AV213" i="4"/>
  <c r="AW213" i="4"/>
  <c r="BK255" i="4"/>
  <c r="AS157" i="4"/>
  <c r="BM157" i="4"/>
  <c r="BQ157" i="4"/>
  <c r="BV137" i="5"/>
  <c r="AT137" i="5"/>
  <c r="AU137" i="5"/>
  <c r="N135" i="5"/>
  <c r="AS108" i="4"/>
  <c r="AS107" i="5"/>
  <c r="AV107" i="5"/>
  <c r="CA105" i="4"/>
  <c r="CB105" i="4"/>
  <c r="BV101" i="5"/>
  <c r="AS102" i="4"/>
  <c r="AV102" i="4"/>
  <c r="AW102" i="4"/>
  <c r="AT97" i="5"/>
  <c r="AU97" i="5"/>
  <c r="BV70" i="5"/>
  <c r="J58" i="5"/>
  <c r="BM35" i="5"/>
  <c r="BN35" i="5"/>
  <c r="BV34" i="5"/>
  <c r="BM32" i="5"/>
  <c r="BN32" i="5"/>
  <c r="AT29" i="5"/>
  <c r="AU29" i="5"/>
  <c r="AT24" i="5"/>
  <c r="AU24" i="5"/>
  <c r="BS228" i="5"/>
  <c r="BT228" i="5"/>
  <c r="Y218" i="5"/>
  <c r="AB218" i="5"/>
  <c r="AC218" i="5"/>
  <c r="Y215" i="5"/>
  <c r="J210" i="5"/>
  <c r="BM209" i="5"/>
  <c r="BN209" i="5"/>
  <c r="AB209" i="5"/>
  <c r="AC209" i="5"/>
  <c r="AG208" i="5"/>
  <c r="AH208" i="5"/>
  <c r="Y206" i="5"/>
  <c r="Z206" i="5"/>
  <c r="D192" i="5"/>
  <c r="AB172" i="5"/>
  <c r="V133" i="5"/>
  <c r="W133" i="5"/>
  <c r="H129" i="5"/>
  <c r="AG112" i="5"/>
  <c r="AH112" i="5"/>
  <c r="BM112" i="5"/>
  <c r="BN112" i="5"/>
  <c r="BP109" i="5"/>
  <c r="BQ109" i="5"/>
  <c r="G101" i="5"/>
  <c r="H101" i="5"/>
  <c r="V100" i="5"/>
  <c r="W100" i="5"/>
  <c r="BS19" i="5"/>
  <c r="BT19" i="5"/>
  <c r="BZ19" i="5"/>
  <c r="CA19" i="5"/>
  <c r="BM228" i="5"/>
  <c r="BN228" i="5"/>
  <c r="BK228" i="5"/>
  <c r="AT227" i="5"/>
  <c r="AU227" i="5"/>
  <c r="BM224" i="5"/>
  <c r="BN224" i="5"/>
  <c r="BK223" i="5"/>
  <c r="AT221" i="5"/>
  <c r="AU221" i="5"/>
  <c r="AT218" i="5"/>
  <c r="AU218" i="5"/>
  <c r="S218" i="5"/>
  <c r="AG210" i="5"/>
  <c r="AH210" i="5"/>
  <c r="BM208" i="5"/>
  <c r="BN208" i="5"/>
  <c r="V208" i="5"/>
  <c r="W208" i="5"/>
  <c r="S187" i="5"/>
  <c r="T187" i="5"/>
  <c r="BK163" i="5"/>
  <c r="BP139" i="5"/>
  <c r="BQ139" i="5"/>
  <c r="BK139" i="5"/>
  <c r="Y133" i="5"/>
  <c r="Z133" i="5"/>
  <c r="J129" i="5"/>
  <c r="AG127" i="5"/>
  <c r="AH127" i="5"/>
  <c r="AB127" i="5"/>
  <c r="AC127" i="5"/>
  <c r="BK111" i="5"/>
  <c r="AB110" i="5"/>
  <c r="AC110" i="5"/>
  <c r="BK106" i="5"/>
  <c r="BM105" i="5"/>
  <c r="BN105" i="5"/>
  <c r="V101" i="5"/>
  <c r="W101" i="5"/>
  <c r="AG99" i="5"/>
  <c r="AH99" i="5"/>
  <c r="Y99" i="5"/>
  <c r="Z99" i="5"/>
  <c r="H99" i="5"/>
  <c r="AG97" i="5"/>
  <c r="AH97" i="5"/>
  <c r="M96" i="5"/>
  <c r="BK95" i="5"/>
  <c r="AG79" i="5"/>
  <c r="AH79" i="5"/>
  <c r="AG78" i="5"/>
  <c r="AH78" i="5"/>
  <c r="BK77" i="5"/>
  <c r="V77" i="5"/>
  <c r="W77" i="5"/>
  <c r="AB74" i="5"/>
  <c r="AC74" i="5"/>
  <c r="M70" i="5"/>
  <c r="BK61" i="5"/>
  <c r="AB28" i="5"/>
  <c r="AC28" i="5"/>
  <c r="G28" i="5"/>
  <c r="AG26" i="5"/>
  <c r="AH26" i="5"/>
  <c r="Y26" i="5"/>
  <c r="Z26" i="5"/>
  <c r="BK22" i="5"/>
  <c r="P16" i="5"/>
  <c r="Q16" i="5"/>
  <c r="BK13" i="5"/>
  <c r="J240" i="5"/>
  <c r="D239" i="5"/>
  <c r="G238" i="5"/>
  <c r="J237" i="5"/>
  <c r="AG225" i="5"/>
  <c r="AH225" i="5"/>
  <c r="BK222" i="5"/>
  <c r="M222" i="5"/>
  <c r="P220" i="5"/>
  <c r="Q220" i="5"/>
  <c r="AT217" i="5"/>
  <c r="AU217" i="5"/>
  <c r="P217" i="5"/>
  <c r="AT215" i="5"/>
  <c r="AU215" i="5"/>
  <c r="AG213" i="5"/>
  <c r="AH213" i="5"/>
  <c r="BK212" i="5"/>
  <c r="AG211" i="5"/>
  <c r="AH211" i="5"/>
  <c r="BP209" i="5"/>
  <c r="BQ209" i="5"/>
  <c r="J209" i="5"/>
  <c r="E207" i="5"/>
  <c r="BS192" i="5"/>
  <c r="BT192" i="5"/>
  <c r="Y192" i="5"/>
  <c r="Z192" i="5"/>
  <c r="AG188" i="5"/>
  <c r="AH188" i="5"/>
  <c r="V188" i="5"/>
  <c r="AZ187" i="5"/>
  <c r="S172" i="5"/>
  <c r="Y170" i="5"/>
  <c r="D167" i="5"/>
  <c r="BM165" i="5"/>
  <c r="BN165" i="5"/>
  <c r="P163" i="5"/>
  <c r="Q163" i="5"/>
  <c r="AG157" i="5"/>
  <c r="AH157" i="5"/>
  <c r="S155" i="5"/>
  <c r="T155" i="5"/>
  <c r="S129" i="5"/>
  <c r="T129" i="5"/>
  <c r="BK128" i="5"/>
  <c r="AB115" i="5"/>
  <c r="AC115" i="5"/>
  <c r="AG100" i="5"/>
  <c r="AH100" i="5"/>
  <c r="D100" i="5"/>
  <c r="BP99" i="5"/>
  <c r="BQ99" i="5"/>
  <c r="BK99" i="5"/>
  <c r="M98" i="5"/>
  <c r="BP79" i="5"/>
  <c r="BQ79" i="5"/>
  <c r="Y75" i="5"/>
  <c r="Z75" i="5"/>
  <c r="J75" i="5"/>
  <c r="E75" i="5"/>
  <c r="AB69" i="5"/>
  <c r="AC69" i="5"/>
  <c r="P66" i="5"/>
  <c r="Q66" i="5"/>
  <c r="BP64" i="5"/>
  <c r="BQ64" i="5"/>
  <c r="J64" i="5"/>
  <c r="M62" i="5"/>
  <c r="BM38" i="5"/>
  <c r="BN38" i="5"/>
  <c r="AB34" i="5"/>
  <c r="AC34" i="5"/>
  <c r="BP31" i="5"/>
  <c r="BQ31" i="5"/>
  <c r="Y27" i="5"/>
  <c r="Z27" i="5"/>
  <c r="J23" i="5"/>
  <c r="AB9" i="5"/>
  <c r="AC9" i="5"/>
  <c r="M7" i="5"/>
  <c r="AM251" i="5"/>
  <c r="AT251" i="5"/>
  <c r="BE174" i="5"/>
  <c r="E247" i="5"/>
  <c r="E248" i="5"/>
  <c r="U10" i="3"/>
  <c r="BY173" i="5"/>
  <c r="CD173" i="5"/>
  <c r="CA175" i="4"/>
  <c r="CB175" i="4"/>
  <c r="BY127" i="5"/>
  <c r="CC127" i="5"/>
  <c r="CD127" i="5"/>
  <c r="CA128" i="4"/>
  <c r="CB128" i="4"/>
  <c r="AR71" i="5"/>
  <c r="AT71" i="5"/>
  <c r="AU71" i="5"/>
  <c r="AS72" i="4"/>
  <c r="BM72" i="4"/>
  <c r="BQ72" i="4"/>
  <c r="D209" i="5"/>
  <c r="E209" i="5"/>
  <c r="AD17" i="2"/>
  <c r="AD12" i="2"/>
  <c r="P235" i="4"/>
  <c r="Q235" i="4"/>
  <c r="K235" i="4"/>
  <c r="BQ231" i="4"/>
  <c r="CA229" i="4"/>
  <c r="CB229" i="4"/>
  <c r="AV227" i="4"/>
  <c r="AW227" i="4"/>
  <c r="CA222" i="4"/>
  <c r="CB222" i="4"/>
  <c r="CA215" i="4"/>
  <c r="CB215" i="4"/>
  <c r="CA214" i="4"/>
  <c r="CB214" i="4"/>
  <c r="AV212" i="4"/>
  <c r="AW212" i="4"/>
  <c r="BY167" i="5"/>
  <c r="CC167" i="5"/>
  <c r="CD167" i="5"/>
  <c r="AS163" i="4"/>
  <c r="AS162" i="5"/>
  <c r="AV162" i="5"/>
  <c r="AW162" i="5"/>
  <c r="AA141" i="5"/>
  <c r="AB142" i="4"/>
  <c r="AC142" i="4"/>
  <c r="AR138" i="5"/>
  <c r="AT138" i="5"/>
  <c r="AU138" i="5"/>
  <c r="AS139" i="4"/>
  <c r="AV139" i="4"/>
  <c r="AW139" i="4"/>
  <c r="BU30" i="5"/>
  <c r="BV30" i="5"/>
  <c r="AR30" i="5"/>
  <c r="AT30" i="5"/>
  <c r="AU30" i="5"/>
  <c r="AS30" i="4"/>
  <c r="AS30" i="5"/>
  <c r="BY12" i="5"/>
  <c r="CA12" i="4"/>
  <c r="CB12" i="4"/>
  <c r="BZ208" i="5"/>
  <c r="CA208" i="5"/>
  <c r="BS208" i="5"/>
  <c r="BT208" i="5"/>
  <c r="D193" i="5"/>
  <c r="E193" i="5"/>
  <c r="BZ170" i="5"/>
  <c r="CA170" i="5"/>
  <c r="BS170" i="5"/>
  <c r="BT170" i="5"/>
  <c r="BZ106" i="5"/>
  <c r="CA106" i="5"/>
  <c r="BS106" i="5"/>
  <c r="BT106" i="5"/>
  <c r="BY134" i="5"/>
  <c r="CC134" i="5"/>
  <c r="CD134" i="5"/>
  <c r="CA135" i="4"/>
  <c r="CB135" i="4"/>
  <c r="AR131" i="5"/>
  <c r="AS132" i="4"/>
  <c r="AS131" i="5"/>
  <c r="BH255" i="4"/>
  <c r="R158" i="5"/>
  <c r="V158" i="5"/>
  <c r="W158" i="5"/>
  <c r="R176" i="4"/>
  <c r="AR139" i="5"/>
  <c r="AT139" i="5"/>
  <c r="AU139" i="5"/>
  <c r="AS140" i="4"/>
  <c r="AS139" i="5"/>
  <c r="AV139" i="5"/>
  <c r="AW139" i="5"/>
  <c r="BY131" i="5"/>
  <c r="CC131" i="5"/>
  <c r="CD131" i="5"/>
  <c r="BY103" i="5"/>
  <c r="CA104" i="4"/>
  <c r="CB104" i="4"/>
  <c r="BY74" i="5"/>
  <c r="CC74" i="5"/>
  <c r="CD74" i="5"/>
  <c r="CA75" i="4"/>
  <c r="CB75" i="4"/>
  <c r="BY31" i="5"/>
  <c r="CA31" i="4"/>
  <c r="CB31" i="4"/>
  <c r="D222" i="5"/>
  <c r="G222" i="5"/>
  <c r="BZ214" i="5"/>
  <c r="CA214" i="5"/>
  <c r="BY192" i="5"/>
  <c r="BZ192" i="5"/>
  <c r="CA192" i="5"/>
  <c r="CA196" i="4"/>
  <c r="CB196" i="4"/>
  <c r="B17" i="2"/>
  <c r="B11" i="3"/>
  <c r="O11" i="2"/>
  <c r="O5" i="3"/>
  <c r="P5" i="3"/>
  <c r="Q5" i="3"/>
  <c r="O17" i="2"/>
  <c r="O11" i="3"/>
  <c r="I17" i="2"/>
  <c r="I11" i="3"/>
  <c r="BV228" i="5"/>
  <c r="BM230" i="4"/>
  <c r="BQ230" i="4"/>
  <c r="AT230" i="4"/>
  <c r="AU230" i="4"/>
  <c r="AV224" i="4"/>
  <c r="AW224" i="4"/>
  <c r="CA220" i="4"/>
  <c r="CB220" i="4"/>
  <c r="AT219" i="4"/>
  <c r="AU219" i="4"/>
  <c r="BM217" i="4"/>
  <c r="BQ217" i="4"/>
  <c r="AT216" i="4"/>
  <c r="AU216" i="4"/>
  <c r="AR200" i="4"/>
  <c r="BY191" i="5"/>
  <c r="CC191" i="5"/>
  <c r="CD191" i="5"/>
  <c r="CA195" i="4"/>
  <c r="CB195" i="4"/>
  <c r="AR163" i="5"/>
  <c r="AT163" i="5"/>
  <c r="AU163" i="5"/>
  <c r="AS164" i="4"/>
  <c r="BM164" i="4"/>
  <c r="BQ164" i="4"/>
  <c r="BM158" i="5"/>
  <c r="BN158" i="5"/>
  <c r="BY79" i="5"/>
  <c r="CC79" i="5"/>
  <c r="CD79" i="5"/>
  <c r="BY72" i="5"/>
  <c r="CC72" i="5"/>
  <c r="CD72" i="5"/>
  <c r="CA73" i="4"/>
  <c r="CB73" i="4"/>
  <c r="BY70" i="5"/>
  <c r="CC70" i="5"/>
  <c r="CD70" i="5"/>
  <c r="CA71" i="4"/>
  <c r="CB71" i="4"/>
  <c r="AR36" i="5"/>
  <c r="AT36" i="5"/>
  <c r="AS36" i="4"/>
  <c r="BM36" i="4"/>
  <c r="BQ36" i="4"/>
  <c r="BY20" i="5"/>
  <c r="BY11" i="5"/>
  <c r="CA11" i="4"/>
  <c r="CB11" i="4"/>
  <c r="AT103" i="5"/>
  <c r="AU103" i="5"/>
  <c r="BM99" i="4"/>
  <c r="BQ99" i="4"/>
  <c r="AS97" i="4"/>
  <c r="BM97" i="4"/>
  <c r="BQ97" i="4"/>
  <c r="AS95" i="4"/>
  <c r="CA94" i="4"/>
  <c r="CB94" i="4"/>
  <c r="CA93" i="4"/>
  <c r="CB93" i="4"/>
  <c r="CA74" i="4"/>
  <c r="CB74" i="4"/>
  <c r="BL48" i="4"/>
  <c r="AS39" i="4"/>
  <c r="BM39" i="4"/>
  <c r="BQ39" i="4"/>
  <c r="AS20" i="4"/>
  <c r="AS20" i="5"/>
  <c r="AV20" i="5"/>
  <c r="AW20" i="5"/>
  <c r="CA15" i="4"/>
  <c r="CB15" i="4"/>
  <c r="M251" i="5"/>
  <c r="D250" i="5"/>
  <c r="J249" i="5"/>
  <c r="CC247" i="5"/>
  <c r="G247" i="5"/>
  <c r="BZ228" i="5"/>
  <c r="CA228" i="5"/>
  <c r="BK227" i="5"/>
  <c r="AG222" i="5"/>
  <c r="AH222" i="5"/>
  <c r="V220" i="5"/>
  <c r="S216" i="5"/>
  <c r="T216" i="5"/>
  <c r="AB215" i="5"/>
  <c r="AC215" i="5"/>
  <c r="P214" i="5"/>
  <c r="V210" i="5"/>
  <c r="W210" i="5"/>
  <c r="N209" i="5"/>
  <c r="Y208" i="5"/>
  <c r="Z208" i="5"/>
  <c r="BZ165" i="5"/>
  <c r="CA165" i="5"/>
  <c r="BS165" i="5"/>
  <c r="BT165" i="5"/>
  <c r="Y164" i="5"/>
  <c r="Z164" i="5"/>
  <c r="V160" i="5"/>
  <c r="W160" i="5"/>
  <c r="M129" i="5"/>
  <c r="BP115" i="5"/>
  <c r="BQ115" i="5"/>
  <c r="BS72" i="5"/>
  <c r="BT72" i="5"/>
  <c r="BZ72" i="5"/>
  <c r="CA72" i="5"/>
  <c r="BV69" i="5"/>
  <c r="BV61" i="5"/>
  <c r="BS222" i="5"/>
  <c r="BT222" i="5"/>
  <c r="P222" i="5"/>
  <c r="BS206" i="5"/>
  <c r="BT206" i="5"/>
  <c r="BZ206" i="5"/>
  <c r="CA206" i="5"/>
  <c r="AG161" i="5"/>
  <c r="AH161" i="5"/>
  <c r="BM161" i="5"/>
  <c r="BN161" i="5"/>
  <c r="J101" i="5"/>
  <c r="K101" i="5"/>
  <c r="BV189" i="5"/>
  <c r="BV167" i="5"/>
  <c r="BV155" i="5"/>
  <c r="D95" i="5"/>
  <c r="Y58" i="5"/>
  <c r="Z58" i="5"/>
  <c r="BV35" i="5"/>
  <c r="BV13" i="5"/>
  <c r="J251" i="5"/>
  <c r="D249" i="5"/>
  <c r="D244" i="5"/>
  <c r="M242" i="5"/>
  <c r="M240" i="5"/>
  <c r="M237" i="5"/>
  <c r="AG228" i="5"/>
  <c r="AH228" i="5"/>
  <c r="AG223" i="5"/>
  <c r="AH223" i="5"/>
  <c r="D223" i="5"/>
  <c r="V222" i="5"/>
  <c r="V221" i="5"/>
  <c r="W221" i="5"/>
  <c r="P221" i="5"/>
  <c r="V218" i="5"/>
  <c r="M218" i="5"/>
  <c r="BP217" i="5"/>
  <c r="BQ217" i="5"/>
  <c r="V217" i="5"/>
  <c r="W217" i="5"/>
  <c r="P216" i="5"/>
  <c r="BM215" i="5"/>
  <c r="BN215" i="5"/>
  <c r="AB210" i="5"/>
  <c r="AC210" i="5"/>
  <c r="S208" i="5"/>
  <c r="T208" i="5"/>
  <c r="BK187" i="5"/>
  <c r="BS161" i="5"/>
  <c r="BT161" i="5"/>
  <c r="V161" i="5"/>
  <c r="W161" i="5"/>
  <c r="V104" i="5"/>
  <c r="W104" i="5"/>
  <c r="BS101" i="5"/>
  <c r="BT101" i="5"/>
  <c r="BZ101" i="5"/>
  <c r="CA101" i="5"/>
  <c r="BM216" i="5"/>
  <c r="BN216" i="5"/>
  <c r="AB216" i="5"/>
  <c r="AC216" i="5"/>
  <c r="BK208" i="5"/>
  <c r="AB208" i="5"/>
  <c r="AC208" i="5"/>
  <c r="AB206" i="5"/>
  <c r="AC206" i="5"/>
  <c r="M195" i="5"/>
  <c r="D195" i="5"/>
  <c r="AB192" i="5"/>
  <c r="AC192" i="5"/>
  <c r="K192" i="5"/>
  <c r="Y191" i="5"/>
  <c r="Z191" i="5"/>
  <c r="Y189" i="5"/>
  <c r="Z189" i="5"/>
  <c r="AT187" i="5"/>
  <c r="AU187" i="5"/>
  <c r="Z172" i="5"/>
  <c r="V168" i="5"/>
  <c r="W168" i="5"/>
  <c r="N168" i="5"/>
  <c r="AB167" i="5"/>
  <c r="AC167" i="5"/>
  <c r="P167" i="5"/>
  <c r="Q167" i="5"/>
  <c r="P166" i="5"/>
  <c r="Q166" i="5"/>
  <c r="D166" i="5"/>
  <c r="BP163" i="5"/>
  <c r="BQ163" i="5"/>
  <c r="V163" i="5"/>
  <c r="W163" i="5"/>
  <c r="BM162" i="5"/>
  <c r="BN162" i="5"/>
  <c r="BM160" i="5"/>
  <c r="BN160" i="5"/>
  <c r="M160" i="5"/>
  <c r="V155" i="5"/>
  <c r="W155" i="5"/>
  <c r="BS135" i="5"/>
  <c r="BT135" i="5"/>
  <c r="AB133" i="5"/>
  <c r="AC133" i="5"/>
  <c r="Y132" i="5"/>
  <c r="Z132" i="5"/>
  <c r="AG128" i="5"/>
  <c r="AH128" i="5"/>
  <c r="V128" i="5"/>
  <c r="W128" i="5"/>
  <c r="BP127" i="5"/>
  <c r="BQ127" i="5"/>
  <c r="BK112" i="5"/>
  <c r="Y109" i="5"/>
  <c r="BM108" i="5"/>
  <c r="BN108" i="5"/>
  <c r="D106" i="5"/>
  <c r="Y102" i="5"/>
  <c r="Z102" i="5"/>
  <c r="Y100" i="5"/>
  <c r="Z100" i="5"/>
  <c r="AB97" i="5"/>
  <c r="AC97" i="5"/>
  <c r="BK96" i="5"/>
  <c r="D94" i="5"/>
  <c r="E94" i="5"/>
  <c r="V93" i="5"/>
  <c r="W93" i="5"/>
  <c r="P77" i="5"/>
  <c r="BP73" i="5"/>
  <c r="BQ73" i="5"/>
  <c r="V70" i="5"/>
  <c r="W70" i="5"/>
  <c r="H67" i="5"/>
  <c r="S29" i="5"/>
  <c r="T29" i="5"/>
  <c r="P29" i="5"/>
  <c r="Q29" i="5"/>
  <c r="BK170" i="5"/>
  <c r="S170" i="5"/>
  <c r="BK167" i="5"/>
  <c r="BK166" i="5"/>
  <c r="AG160" i="5"/>
  <c r="AH160" i="5"/>
  <c r="BK127" i="5"/>
  <c r="BK110" i="5"/>
  <c r="AG108" i="5"/>
  <c r="AH108" i="5"/>
  <c r="P108" i="5"/>
  <c r="Q108" i="5"/>
  <c r="AG104" i="5"/>
  <c r="AH104" i="5"/>
  <c r="E73" i="5"/>
  <c r="G73" i="5"/>
  <c r="D73" i="5"/>
  <c r="K71" i="5"/>
  <c r="J71" i="5"/>
  <c r="BM29" i="5"/>
  <c r="BN29" i="5"/>
  <c r="AT219" i="5"/>
  <c r="AU219" i="5"/>
  <c r="G218" i="5"/>
  <c r="BK217" i="5"/>
  <c r="BP216" i="5"/>
  <c r="BQ216" i="5"/>
  <c r="BM214" i="5"/>
  <c r="BN214" i="5"/>
  <c r="AT213" i="5"/>
  <c r="AU213" i="5"/>
  <c r="AB213" i="5"/>
  <c r="AC213" i="5"/>
  <c r="S213" i="5"/>
  <c r="AG212" i="5"/>
  <c r="AH212" i="5"/>
  <c r="AB212" i="5"/>
  <c r="AC212" i="5"/>
  <c r="P212" i="5"/>
  <c r="BP211" i="5"/>
  <c r="BQ211" i="5"/>
  <c r="AT211" i="5"/>
  <c r="AU211" i="5"/>
  <c r="AB211" i="5"/>
  <c r="AC211" i="5"/>
  <c r="S211" i="5"/>
  <c r="G211" i="5"/>
  <c r="BK210" i="5"/>
  <c r="G209" i="5"/>
  <c r="BP208" i="5"/>
  <c r="BQ208" i="5"/>
  <c r="N208" i="5"/>
  <c r="J207" i="5"/>
  <c r="E195" i="5"/>
  <c r="AB193" i="5"/>
  <c r="AC193" i="5"/>
  <c r="S192" i="5"/>
  <c r="T192" i="5"/>
  <c r="J192" i="5"/>
  <c r="P191" i="5"/>
  <c r="Q191" i="5"/>
  <c r="BP190" i="5"/>
  <c r="BQ190" i="5"/>
  <c r="AZ189" i="5"/>
  <c r="AB189" i="5"/>
  <c r="AC189" i="5"/>
  <c r="AB188" i="5"/>
  <c r="AC188" i="5"/>
  <c r="P188" i="5"/>
  <c r="Q188" i="5"/>
  <c r="AG187" i="5"/>
  <c r="AH187" i="5"/>
  <c r="Y187" i="5"/>
  <c r="Z187" i="5"/>
  <c r="P172" i="5"/>
  <c r="Q172" i="5"/>
  <c r="E172" i="5"/>
  <c r="AG170" i="5"/>
  <c r="AH170" i="5"/>
  <c r="P170" i="5"/>
  <c r="Y169" i="5"/>
  <c r="Z169" i="5"/>
  <c r="S167" i="5"/>
  <c r="T167" i="5"/>
  <c r="P165" i="5"/>
  <c r="Q165" i="5"/>
  <c r="BP164" i="5"/>
  <c r="BQ164" i="5"/>
  <c r="P164" i="5"/>
  <c r="Q164" i="5"/>
  <c r="BP162" i="5"/>
  <c r="BQ162" i="5"/>
  <c r="D162" i="5"/>
  <c r="N160" i="5"/>
  <c r="P159" i="5"/>
  <c r="Q159" i="5"/>
  <c r="BS157" i="5"/>
  <c r="BT157" i="5"/>
  <c r="BK156" i="5"/>
  <c r="Y155" i="5"/>
  <c r="Z155" i="5"/>
  <c r="AG154" i="5"/>
  <c r="AH154" i="5"/>
  <c r="AB139" i="5"/>
  <c r="AC139" i="5"/>
  <c r="BK136" i="5"/>
  <c r="AB136" i="5"/>
  <c r="AC136" i="5"/>
  <c r="BZ135" i="5"/>
  <c r="CA135" i="5"/>
  <c r="BK132" i="5"/>
  <c r="AB132" i="5"/>
  <c r="AC132" i="5"/>
  <c r="BK131" i="5"/>
  <c r="Y131" i="5"/>
  <c r="Z131" i="5"/>
  <c r="G129" i="5"/>
  <c r="BS127" i="5"/>
  <c r="BT127" i="5"/>
  <c r="AB112" i="5"/>
  <c r="V110" i="5"/>
  <c r="BK108" i="5"/>
  <c r="V108" i="5"/>
  <c r="BS105" i="5"/>
  <c r="BT105" i="5"/>
  <c r="AB105" i="5"/>
  <c r="AC105" i="5"/>
  <c r="BP104" i="5"/>
  <c r="BQ104" i="5"/>
  <c r="AB102" i="5"/>
  <c r="AC102" i="5"/>
  <c r="S102" i="5"/>
  <c r="T102" i="5"/>
  <c r="AB100" i="5"/>
  <c r="AC100" i="5"/>
  <c r="H100" i="5"/>
  <c r="S95" i="5"/>
  <c r="T95" i="5"/>
  <c r="AG93" i="5"/>
  <c r="AH93" i="5"/>
  <c r="V78" i="5"/>
  <c r="BS76" i="5"/>
  <c r="BT76" i="5"/>
  <c r="BZ76" i="5"/>
  <c r="CA76" i="5"/>
  <c r="S71" i="5"/>
  <c r="T71" i="5"/>
  <c r="BZ37" i="5"/>
  <c r="CA37" i="5"/>
  <c r="BS37" i="5"/>
  <c r="BT37" i="5"/>
  <c r="N31" i="5"/>
  <c r="BZ28" i="5"/>
  <c r="CA28" i="5"/>
  <c r="BS28" i="5"/>
  <c r="BT28" i="5"/>
  <c r="D9" i="5"/>
  <c r="E9" i="5"/>
  <c r="AB99" i="5"/>
  <c r="AC99" i="5"/>
  <c r="K99" i="5"/>
  <c r="V95" i="5"/>
  <c r="W95" i="5"/>
  <c r="V76" i="5"/>
  <c r="W76" i="5"/>
  <c r="AB75" i="5"/>
  <c r="AC75" i="5"/>
  <c r="S73" i="5"/>
  <c r="T73" i="5"/>
  <c r="P72" i="5"/>
  <c r="Q72" i="5"/>
  <c r="Y71" i="5"/>
  <c r="Z71" i="5"/>
  <c r="D71" i="5"/>
  <c r="BK70" i="5"/>
  <c r="BK69" i="5"/>
  <c r="V68" i="5"/>
  <c r="W68" i="5"/>
  <c r="P67" i="5"/>
  <c r="Q67" i="5"/>
  <c r="BK66" i="5"/>
  <c r="AB66" i="5"/>
  <c r="Y64" i="5"/>
  <c r="Z64" i="5"/>
  <c r="P63" i="5"/>
  <c r="Q63" i="5"/>
  <c r="AB60" i="5"/>
  <c r="AC60" i="5"/>
  <c r="D60" i="5"/>
  <c r="V59" i="5"/>
  <c r="W59" i="5"/>
  <c r="J59" i="5"/>
  <c r="BS35" i="5"/>
  <c r="BT35" i="5"/>
  <c r="BS34" i="5"/>
  <c r="BT34" i="5"/>
  <c r="V34" i="5"/>
  <c r="W34" i="5"/>
  <c r="V31" i="5"/>
  <c r="W31" i="5"/>
  <c r="BK29" i="5"/>
  <c r="AB29" i="5"/>
  <c r="AC29" i="5"/>
  <c r="V28" i="5"/>
  <c r="W28" i="5"/>
  <c r="M26" i="5"/>
  <c r="BK19" i="5"/>
  <c r="Y19" i="5"/>
  <c r="Z19" i="5"/>
  <c r="AB18" i="5"/>
  <c r="AC18" i="5"/>
  <c r="Y16" i="5"/>
  <c r="Z16" i="5"/>
  <c r="P15" i="5"/>
  <c r="Q15" i="5"/>
  <c r="BK9" i="5"/>
  <c r="P71" i="5"/>
  <c r="Q71" i="5"/>
  <c r="BP67" i="5"/>
  <c r="BQ67" i="5"/>
  <c r="BM66" i="5"/>
  <c r="BN66" i="5"/>
  <c r="BK65" i="5"/>
  <c r="BK64" i="5"/>
  <c r="P25" i="5"/>
  <c r="Q25" i="5"/>
  <c r="J102" i="5"/>
  <c r="AG101" i="5"/>
  <c r="AH101" i="5"/>
  <c r="Y101" i="5"/>
  <c r="Z101" i="5"/>
  <c r="M101" i="5"/>
  <c r="K100" i="5"/>
  <c r="BM99" i="5"/>
  <c r="BN99" i="5"/>
  <c r="H98" i="5"/>
  <c r="AG77" i="5"/>
  <c r="AH77" i="5"/>
  <c r="Y77" i="5"/>
  <c r="Z77" i="5"/>
  <c r="Y76" i="5"/>
  <c r="Z76" i="5"/>
  <c r="BK75" i="5"/>
  <c r="V73" i="5"/>
  <c r="W73" i="5"/>
  <c r="H71" i="5"/>
  <c r="N70" i="5"/>
  <c r="Y68" i="5"/>
  <c r="Z68" i="5"/>
  <c r="S66" i="5"/>
  <c r="S63" i="5"/>
  <c r="T63" i="5"/>
  <c r="BM62" i="5"/>
  <c r="BN62" i="5"/>
  <c r="H62" i="5"/>
  <c r="P61" i="5"/>
  <c r="Q61" i="5"/>
  <c r="G60" i="5"/>
  <c r="P59" i="5"/>
  <c r="Q59" i="5"/>
  <c r="CC41" i="5"/>
  <c r="CD41" i="5"/>
  <c r="BK39" i="5"/>
  <c r="BP38" i="5"/>
  <c r="BQ38" i="5"/>
  <c r="BZ34" i="5"/>
  <c r="CA34" i="5"/>
  <c r="AB32" i="5"/>
  <c r="AC32" i="5"/>
  <c r="S32" i="5"/>
  <c r="T32" i="5"/>
  <c r="Y31" i="5"/>
  <c r="Z31" i="5"/>
  <c r="BP30" i="5"/>
  <c r="BQ30" i="5"/>
  <c r="D30" i="5"/>
  <c r="Y28" i="5"/>
  <c r="Z28" i="5"/>
  <c r="P27" i="5"/>
  <c r="Q27" i="5"/>
  <c r="P26" i="5"/>
  <c r="Q26" i="5"/>
  <c r="BK25" i="5"/>
  <c r="AB24" i="5"/>
  <c r="AC24" i="5"/>
  <c r="P24" i="5"/>
  <c r="Q24" i="5"/>
  <c r="Y23" i="5"/>
  <c r="Z23" i="5"/>
  <c r="M23" i="5"/>
  <c r="P21" i="5"/>
  <c r="Q21" i="5"/>
  <c r="Y20" i="5"/>
  <c r="AB19" i="5"/>
  <c r="M19" i="5"/>
  <c r="BS17" i="5"/>
  <c r="BT17" i="5"/>
  <c r="BS14" i="5"/>
  <c r="BT14" i="5"/>
  <c r="BK14" i="5"/>
  <c r="BS12" i="5"/>
  <c r="BT12" i="5"/>
  <c r="M9" i="5"/>
  <c r="AA8" i="3"/>
  <c r="AE8" i="3"/>
  <c r="AF8" i="3"/>
  <c r="AB14" i="2"/>
  <c r="AC14" i="2"/>
  <c r="B191" i="5"/>
  <c r="D191" i="5"/>
  <c r="E195" i="4"/>
  <c r="U17" i="2"/>
  <c r="Y16" i="2"/>
  <c r="Z16" i="2"/>
  <c r="BB235" i="4"/>
  <c r="AS235" i="4"/>
  <c r="AG17" i="2"/>
  <c r="AK17" i="2"/>
  <c r="BO225" i="5"/>
  <c r="BP225" i="5"/>
  <c r="BQ225" i="5"/>
  <c r="AY229" i="4"/>
  <c r="AZ229" i="4"/>
  <c r="BM226" i="4"/>
  <c r="BQ226" i="4"/>
  <c r="BY217" i="5"/>
  <c r="CC217" i="5"/>
  <c r="CD217" i="5"/>
  <c r="CA221" i="4"/>
  <c r="CB221" i="4"/>
  <c r="BV217" i="5"/>
  <c r="BC221" i="4"/>
  <c r="BD221" i="4"/>
  <c r="BM219" i="4"/>
  <c r="BQ219" i="4"/>
  <c r="BU212" i="5"/>
  <c r="BV212" i="5"/>
  <c r="BM216" i="4"/>
  <c r="BQ216" i="4"/>
  <c r="BY208" i="5"/>
  <c r="CC208" i="5"/>
  <c r="CD208" i="5"/>
  <c r="CA212" i="4"/>
  <c r="CB212" i="4"/>
  <c r="AE206" i="5"/>
  <c r="AE235" i="4"/>
  <c r="B200" i="4"/>
  <c r="B16" i="2"/>
  <c r="AR195" i="5"/>
  <c r="AT195" i="5"/>
  <c r="AU195" i="5"/>
  <c r="AS199" i="4"/>
  <c r="BY190" i="5"/>
  <c r="CA194" i="4"/>
  <c r="CB194" i="4"/>
  <c r="B188" i="5"/>
  <c r="E188" i="5"/>
  <c r="D188" i="5"/>
  <c r="E192" i="4"/>
  <c r="AA171" i="5"/>
  <c r="AB171" i="5"/>
  <c r="AA176" i="4"/>
  <c r="AB172" i="4"/>
  <c r="AC172" i="4"/>
  <c r="O116" i="5"/>
  <c r="P116" i="5"/>
  <c r="Q116" i="5"/>
  <c r="P117" i="4"/>
  <c r="Q117" i="4"/>
  <c r="AE14" i="2"/>
  <c r="AF14" i="2"/>
  <c r="P13" i="2"/>
  <c r="Q13" i="2"/>
  <c r="BM233" i="4"/>
  <c r="BQ233" i="4"/>
  <c r="AS221" i="4"/>
  <c r="AV221" i="4"/>
  <c r="AW221" i="4"/>
  <c r="BO200" i="4"/>
  <c r="BY194" i="5"/>
  <c r="BZ194" i="5"/>
  <c r="CA194" i="5"/>
  <c r="X8" i="3"/>
  <c r="BU250" i="5"/>
  <c r="BM254" i="4"/>
  <c r="R231" i="5"/>
  <c r="S235" i="4"/>
  <c r="T235" i="4"/>
  <c r="AS228" i="5"/>
  <c r="AV228" i="5"/>
  <c r="AW228" i="5"/>
  <c r="AV232" i="4"/>
  <c r="AW232" i="4"/>
  <c r="BY227" i="5"/>
  <c r="BF229" i="4"/>
  <c r="BG229" i="4"/>
  <c r="BM227" i="4"/>
  <c r="BQ227" i="4"/>
  <c r="AT226" i="4"/>
  <c r="AU226" i="4"/>
  <c r="BY221" i="5"/>
  <c r="CC221" i="5"/>
  <c r="CD221" i="5"/>
  <c r="AS218" i="5"/>
  <c r="AV218" i="5"/>
  <c r="AW218" i="5"/>
  <c r="AT222" i="4"/>
  <c r="AU222" i="4"/>
  <c r="AV217" i="4"/>
  <c r="AW217" i="4"/>
  <c r="AT215" i="4"/>
  <c r="AU215" i="4"/>
  <c r="CA211" i="4"/>
  <c r="CB211" i="4"/>
  <c r="BM211" i="4"/>
  <c r="BQ211" i="4"/>
  <c r="F191" i="5"/>
  <c r="G191" i="5"/>
  <c r="H195" i="4"/>
  <c r="G195" i="4"/>
  <c r="BY189" i="5"/>
  <c r="BZ189" i="5"/>
  <c r="CA189" i="5"/>
  <c r="CC189" i="5"/>
  <c r="CD189" i="5"/>
  <c r="CA193" i="4"/>
  <c r="CB193" i="4"/>
  <c r="BU188" i="5"/>
  <c r="BV188" i="5"/>
  <c r="BY171" i="5"/>
  <c r="CC171" i="5"/>
  <c r="CD171" i="5"/>
  <c r="CA172" i="4"/>
  <c r="CB172" i="4"/>
  <c r="BL171" i="5"/>
  <c r="BB176" i="4"/>
  <c r="BY226" i="5"/>
  <c r="CC226" i="5"/>
  <c r="CD226" i="5"/>
  <c r="CA230" i="4"/>
  <c r="CB230" i="4"/>
  <c r="BU224" i="5"/>
  <c r="BV224" i="5"/>
  <c r="BM228" i="4"/>
  <c r="BQ228" i="4"/>
  <c r="AV220" i="4"/>
  <c r="AW220" i="4"/>
  <c r="AS210" i="5"/>
  <c r="AV210" i="5"/>
  <c r="AT214" i="4"/>
  <c r="AU214" i="4"/>
  <c r="U196" i="5"/>
  <c r="V196" i="5"/>
  <c r="W196" i="5"/>
  <c r="V200" i="4"/>
  <c r="W200" i="4"/>
  <c r="BY188" i="5"/>
  <c r="CA192" i="4"/>
  <c r="CB192" i="4"/>
  <c r="F188" i="5"/>
  <c r="K188" i="5"/>
  <c r="H192" i="4"/>
  <c r="F200" i="4"/>
  <c r="F16" i="2"/>
  <c r="F10" i="3"/>
  <c r="G192" i="4"/>
  <c r="AF171" i="5"/>
  <c r="AG172" i="4"/>
  <c r="AH172" i="4"/>
  <c r="BY158" i="5"/>
  <c r="CC158" i="5"/>
  <c r="CD158" i="5"/>
  <c r="CA159" i="4"/>
  <c r="CB159" i="4"/>
  <c r="BS196" i="5"/>
  <c r="BT196" i="5"/>
  <c r="K195" i="4"/>
  <c r="J189" i="5"/>
  <c r="E193" i="4"/>
  <c r="K192" i="4"/>
  <c r="AE176" i="4"/>
  <c r="AY170" i="4"/>
  <c r="AZ170" i="4"/>
  <c r="AS166" i="4"/>
  <c r="AT166" i="4"/>
  <c r="AU166" i="4"/>
  <c r="K166" i="4"/>
  <c r="G166" i="4"/>
  <c r="AS162" i="4"/>
  <c r="AV162" i="4"/>
  <c r="AW162" i="4"/>
  <c r="G161" i="4"/>
  <c r="D160" i="5"/>
  <c r="BF160" i="4"/>
  <c r="BG160" i="4"/>
  <c r="K160" i="4"/>
  <c r="G160" i="4"/>
  <c r="D159" i="5"/>
  <c r="E159" i="5"/>
  <c r="AB159" i="4"/>
  <c r="AC159" i="4"/>
  <c r="V159" i="4"/>
  <c r="W159" i="4"/>
  <c r="BS156" i="5"/>
  <c r="BT156" i="5"/>
  <c r="BZ156" i="5"/>
  <c r="CA156" i="5"/>
  <c r="BR174" i="5"/>
  <c r="BZ174" i="5"/>
  <c r="CA174" i="5"/>
  <c r="AG156" i="5"/>
  <c r="AH156" i="5"/>
  <c r="BP156" i="5"/>
  <c r="BQ156" i="5"/>
  <c r="Y157" i="4"/>
  <c r="Z157" i="4"/>
  <c r="H157" i="4"/>
  <c r="D157" i="4"/>
  <c r="J156" i="4"/>
  <c r="W155" i="4"/>
  <c r="W176" i="4"/>
  <c r="S155" i="4"/>
  <c r="T155" i="4"/>
  <c r="H155" i="4"/>
  <c r="D155" i="4"/>
  <c r="AX142" i="4"/>
  <c r="BO141" i="5"/>
  <c r="U142" i="4"/>
  <c r="Y142" i="4"/>
  <c r="Z142" i="4"/>
  <c r="AS138" i="4"/>
  <c r="BM138" i="4"/>
  <c r="BQ138" i="4"/>
  <c r="BF137" i="4"/>
  <c r="BG137" i="4"/>
  <c r="AY137" i="4"/>
  <c r="AZ137" i="4"/>
  <c r="J136" i="4"/>
  <c r="BF134" i="4"/>
  <c r="BG134" i="4"/>
  <c r="AY134" i="4"/>
  <c r="AZ134" i="4"/>
  <c r="J134" i="4"/>
  <c r="E132" i="4"/>
  <c r="V131" i="4"/>
  <c r="W131" i="4"/>
  <c r="H131" i="4"/>
  <c r="D131" i="4"/>
  <c r="CA130" i="4"/>
  <c r="CB130" i="4"/>
  <c r="AT128" i="5"/>
  <c r="AU128" i="5"/>
  <c r="H129" i="4"/>
  <c r="D129" i="4"/>
  <c r="AF117" i="4"/>
  <c r="CA115" i="4"/>
  <c r="CB115" i="4"/>
  <c r="CA113" i="4"/>
  <c r="CB113" i="4"/>
  <c r="AG112" i="4"/>
  <c r="AH112" i="4"/>
  <c r="AS111" i="4"/>
  <c r="AV111" i="4"/>
  <c r="AW111" i="4"/>
  <c r="BC110" i="4"/>
  <c r="BD110" i="4"/>
  <c r="AS109" i="4"/>
  <c r="AS107" i="4"/>
  <c r="AV107" i="4"/>
  <c r="AW107" i="4"/>
  <c r="G104" i="4"/>
  <c r="CA103" i="4"/>
  <c r="CB103" i="4"/>
  <c r="H96" i="4"/>
  <c r="D96" i="4"/>
  <c r="M92" i="5"/>
  <c r="BX82" i="4"/>
  <c r="BN82" i="4"/>
  <c r="BW82" i="4"/>
  <c r="BS78" i="5"/>
  <c r="BT78" i="5"/>
  <c r="BZ78" i="5"/>
  <c r="CA78" i="5"/>
  <c r="M76" i="4"/>
  <c r="N76" i="4"/>
  <c r="AS69" i="4"/>
  <c r="BM69" i="4"/>
  <c r="BQ69" i="4"/>
  <c r="J69" i="4"/>
  <c r="CA66" i="4"/>
  <c r="CB66" i="4"/>
  <c r="BC66" i="4"/>
  <c r="BD66" i="4"/>
  <c r="H66" i="4"/>
  <c r="D66" i="4"/>
  <c r="BF64" i="4"/>
  <c r="BG64" i="4"/>
  <c r="AY64" i="4"/>
  <c r="AZ64" i="4"/>
  <c r="V64" i="4"/>
  <c r="H64" i="4"/>
  <c r="D64" i="4"/>
  <c r="BF60" i="4"/>
  <c r="BG60" i="4"/>
  <c r="AY60" i="4"/>
  <c r="AZ60" i="4"/>
  <c r="AB59" i="4"/>
  <c r="AC59" i="4"/>
  <c r="CA40" i="4"/>
  <c r="CB40" i="4"/>
  <c r="BC40" i="4"/>
  <c r="BD40" i="4"/>
  <c r="BY36" i="5"/>
  <c r="CC36" i="5"/>
  <c r="CD36" i="5"/>
  <c r="BY34" i="5"/>
  <c r="CC34" i="5"/>
  <c r="CD34" i="5"/>
  <c r="AS34" i="4"/>
  <c r="AS34" i="5"/>
  <c r="F32" i="5"/>
  <c r="G32" i="4"/>
  <c r="AS29" i="4"/>
  <c r="AS29" i="5"/>
  <c r="BB29" i="5"/>
  <c r="BC29" i="5"/>
  <c r="BY28" i="5"/>
  <c r="BV28" i="5"/>
  <c r="BC28" i="4"/>
  <c r="BD28" i="4"/>
  <c r="B27" i="5"/>
  <c r="E27" i="5"/>
  <c r="E27" i="4"/>
  <c r="D27" i="4"/>
  <c r="BR25" i="5"/>
  <c r="BZ25" i="5"/>
  <c r="CA25" i="5"/>
  <c r="BF25" i="4"/>
  <c r="BG25" i="4"/>
  <c r="C21" i="5"/>
  <c r="D21" i="5"/>
  <c r="E21" i="4"/>
  <c r="D21" i="4"/>
  <c r="BS227" i="5"/>
  <c r="BT227" i="5"/>
  <c r="BS189" i="5"/>
  <c r="BT189" i="5"/>
  <c r="G159" i="5"/>
  <c r="H159" i="5"/>
  <c r="D156" i="5"/>
  <c r="E156" i="5"/>
  <c r="J155" i="5"/>
  <c r="K155" i="5"/>
  <c r="BP133" i="5"/>
  <c r="BQ133" i="5"/>
  <c r="BS133" i="5"/>
  <c r="BT133" i="5"/>
  <c r="V130" i="5"/>
  <c r="W130" i="5"/>
  <c r="Y130" i="5"/>
  <c r="Z130" i="5"/>
  <c r="G103" i="5"/>
  <c r="J103" i="5"/>
  <c r="H103" i="5"/>
  <c r="J68" i="5"/>
  <c r="K68" i="5"/>
  <c r="BP59" i="5"/>
  <c r="BQ59" i="5"/>
  <c r="BS59" i="5"/>
  <c r="BT59" i="5"/>
  <c r="AS28" i="4"/>
  <c r="AS28" i="5"/>
  <c r="BB28" i="5"/>
  <c r="BC28" i="5"/>
  <c r="M191" i="5"/>
  <c r="AS192" i="4"/>
  <c r="AV192" i="4"/>
  <c r="AW192" i="4"/>
  <c r="K165" i="5"/>
  <c r="J165" i="5"/>
  <c r="N165" i="5"/>
  <c r="J161" i="4"/>
  <c r="E161" i="4"/>
  <c r="BP160" i="4"/>
  <c r="BR160" i="4"/>
  <c r="E160" i="4"/>
  <c r="AG159" i="4"/>
  <c r="AH159" i="4"/>
  <c r="Y158" i="5"/>
  <c r="Z158" i="5"/>
  <c r="AB157" i="4"/>
  <c r="AC157" i="4"/>
  <c r="V154" i="5"/>
  <c r="W154" i="5"/>
  <c r="BW142" i="4"/>
  <c r="G130" i="5"/>
  <c r="H130" i="5"/>
  <c r="BP117" i="4"/>
  <c r="BR117" i="4"/>
  <c r="BL117" i="4"/>
  <c r="BB117" i="4"/>
  <c r="AJ117" i="4"/>
  <c r="BP111" i="5"/>
  <c r="BQ111" i="5"/>
  <c r="J104" i="4"/>
  <c r="E97" i="4"/>
  <c r="G95" i="5"/>
  <c r="H95" i="5"/>
  <c r="J95" i="5"/>
  <c r="E95" i="5"/>
  <c r="H94" i="4"/>
  <c r="D94" i="4"/>
  <c r="K93" i="4"/>
  <c r="BL79" i="4"/>
  <c r="BU78" i="5"/>
  <c r="BV78" i="5"/>
  <c r="P76" i="4"/>
  <c r="Q76" i="4"/>
  <c r="H69" i="4"/>
  <c r="D69" i="4"/>
  <c r="AG64" i="4"/>
  <c r="AH64" i="4"/>
  <c r="Y64" i="4"/>
  <c r="Z64" i="4"/>
  <c r="AG59" i="4"/>
  <c r="AH59" i="4"/>
  <c r="K59" i="4"/>
  <c r="BM44" i="4"/>
  <c r="BQ44" i="4"/>
  <c r="H35" i="4"/>
  <c r="C35" i="5"/>
  <c r="D35" i="5"/>
  <c r="E35" i="4"/>
  <c r="D34" i="4"/>
  <c r="I32" i="5"/>
  <c r="N32" i="5"/>
  <c r="K32" i="4"/>
  <c r="D32" i="4"/>
  <c r="BY29" i="5"/>
  <c r="BO25" i="5"/>
  <c r="AY25" i="4"/>
  <c r="AZ25" i="4"/>
  <c r="C25" i="5"/>
  <c r="E25" i="4"/>
  <c r="BY21" i="5"/>
  <c r="CC21" i="5"/>
  <c r="CD21" i="5"/>
  <c r="CA21" i="4"/>
  <c r="CB21" i="4"/>
  <c r="G21" i="4"/>
  <c r="BC18" i="4"/>
  <c r="BD18" i="4"/>
  <c r="BS187" i="5"/>
  <c r="BT187" i="5"/>
  <c r="AM17" i="2"/>
  <c r="BL200" i="4"/>
  <c r="BF200" i="4"/>
  <c r="BG200" i="4"/>
  <c r="P200" i="4"/>
  <c r="Q200" i="4"/>
  <c r="AS195" i="4"/>
  <c r="AT195" i="4"/>
  <c r="AU195" i="4"/>
  <c r="D195" i="4"/>
  <c r="AY193" i="4"/>
  <c r="AZ193" i="4"/>
  <c r="J193" i="4"/>
  <c r="D189" i="5"/>
  <c r="BF192" i="4"/>
  <c r="BG192" i="4"/>
  <c r="D192" i="4"/>
  <c r="BM187" i="5"/>
  <c r="BN187" i="5"/>
  <c r="AX176" i="4"/>
  <c r="AF176" i="4"/>
  <c r="C176" i="4"/>
  <c r="C15" i="2"/>
  <c r="C9" i="3"/>
  <c r="BF172" i="4"/>
  <c r="BG172" i="4"/>
  <c r="AY172" i="4"/>
  <c r="AZ172" i="4"/>
  <c r="AS168" i="4"/>
  <c r="AV168" i="4"/>
  <c r="AW168" i="4"/>
  <c r="H166" i="4"/>
  <c r="AS165" i="4"/>
  <c r="AV165" i="4"/>
  <c r="AW165" i="4"/>
  <c r="AS161" i="4"/>
  <c r="AV161" i="4"/>
  <c r="AW161" i="4"/>
  <c r="H161" i="4"/>
  <c r="D161" i="4"/>
  <c r="H160" i="4"/>
  <c r="D160" i="4"/>
  <c r="BS158" i="5"/>
  <c r="BT158" i="5"/>
  <c r="BZ158" i="5"/>
  <c r="CA158" i="5"/>
  <c r="AG158" i="5"/>
  <c r="AH158" i="5"/>
  <c r="BP158" i="5"/>
  <c r="BQ158" i="5"/>
  <c r="E159" i="4"/>
  <c r="BF157" i="4"/>
  <c r="BG157" i="4"/>
  <c r="AG157" i="4"/>
  <c r="AH157" i="4"/>
  <c r="AB156" i="5"/>
  <c r="AC156" i="5"/>
  <c r="Y156" i="5"/>
  <c r="Z156" i="5"/>
  <c r="V156" i="5"/>
  <c r="W156" i="5"/>
  <c r="K156" i="5"/>
  <c r="J156" i="5"/>
  <c r="E157" i="4"/>
  <c r="K156" i="4"/>
  <c r="G156" i="4"/>
  <c r="CA155" i="4"/>
  <c r="CB155" i="4"/>
  <c r="Y155" i="4"/>
  <c r="Z155" i="4"/>
  <c r="E155" i="4"/>
  <c r="BP142" i="4"/>
  <c r="BR142" i="4"/>
  <c r="R142" i="4"/>
  <c r="I142" i="4"/>
  <c r="CA141" i="4"/>
  <c r="CB141" i="4"/>
  <c r="CA140" i="4"/>
  <c r="CB140" i="4"/>
  <c r="K136" i="4"/>
  <c r="G136" i="4"/>
  <c r="K134" i="4"/>
  <c r="G134" i="4"/>
  <c r="AY132" i="4"/>
  <c r="AZ132" i="4"/>
  <c r="G132" i="4"/>
  <c r="Y131" i="4"/>
  <c r="Z131" i="4"/>
  <c r="S131" i="4"/>
  <c r="T131" i="4"/>
  <c r="J130" i="5"/>
  <c r="K130" i="5"/>
  <c r="E131" i="4"/>
  <c r="CA129" i="4"/>
  <c r="CB129" i="4"/>
  <c r="E129" i="4"/>
  <c r="BZ117" i="4"/>
  <c r="BY116" i="5"/>
  <c r="AX117" i="4"/>
  <c r="BO116" i="5"/>
  <c r="BS116" i="5"/>
  <c r="BT116" i="5"/>
  <c r="AI117" i="4"/>
  <c r="S117" i="4"/>
  <c r="T117" i="4"/>
  <c r="C117" i="4"/>
  <c r="CA114" i="4"/>
  <c r="CB114" i="4"/>
  <c r="AT114" i="4"/>
  <c r="AU114" i="4"/>
  <c r="BF112" i="4"/>
  <c r="BG112" i="4"/>
  <c r="AS104" i="4"/>
  <c r="AV104" i="4"/>
  <c r="AW104" i="4"/>
  <c r="H104" i="4"/>
  <c r="CA98" i="4"/>
  <c r="CB98" i="4"/>
  <c r="D97" i="4"/>
  <c r="BF96" i="4"/>
  <c r="BG96" i="4"/>
  <c r="AR117" i="4"/>
  <c r="J96" i="4"/>
  <c r="E96" i="4"/>
  <c r="G94" i="4"/>
  <c r="J93" i="4"/>
  <c r="BE82" i="4"/>
  <c r="AJ12" i="2"/>
  <c r="AS81" i="4"/>
  <c r="BM81" i="4"/>
  <c r="BQ81" i="4"/>
  <c r="BF79" i="4"/>
  <c r="BG79" i="4"/>
  <c r="AY79" i="4"/>
  <c r="AZ79" i="4"/>
  <c r="CA78" i="4"/>
  <c r="CB78" i="4"/>
  <c r="K69" i="4"/>
  <c r="G69" i="4"/>
  <c r="AS68" i="4"/>
  <c r="BM68" i="4"/>
  <c r="BQ68" i="4"/>
  <c r="E66" i="4"/>
  <c r="AB64" i="4"/>
  <c r="AC64" i="4"/>
  <c r="E64" i="4"/>
  <c r="AS62" i="4"/>
  <c r="AT62" i="4"/>
  <c r="AU62" i="4"/>
  <c r="AY61" i="4"/>
  <c r="AZ61" i="4"/>
  <c r="Y59" i="4"/>
  <c r="Z59" i="4"/>
  <c r="S59" i="4"/>
  <c r="T59" i="4"/>
  <c r="J59" i="4"/>
  <c r="BB48" i="4"/>
  <c r="AS40" i="4"/>
  <c r="K35" i="4"/>
  <c r="G35" i="4"/>
  <c r="H32" i="4"/>
  <c r="AS31" i="4"/>
  <c r="BM31" i="4"/>
  <c r="BY30" i="5"/>
  <c r="CC30" i="5"/>
  <c r="CD30" i="5"/>
  <c r="CA28" i="4"/>
  <c r="CB28" i="4"/>
  <c r="BL25" i="4"/>
  <c r="BU25" i="5"/>
  <c r="BV25" i="5"/>
  <c r="G25" i="4"/>
  <c r="H21" i="4"/>
  <c r="P18" i="4"/>
  <c r="Q18" i="4"/>
  <c r="H18" i="4"/>
  <c r="E17" i="4"/>
  <c r="H13" i="4"/>
  <c r="D13" i="4"/>
  <c r="Y10" i="4"/>
  <c r="Z10" i="4"/>
  <c r="J250" i="5"/>
  <c r="J246" i="5"/>
  <c r="G245" i="5"/>
  <c r="J243" i="5"/>
  <c r="D242" i="5"/>
  <c r="J241" i="5"/>
  <c r="D240" i="5"/>
  <c r="J239" i="5"/>
  <c r="BP226" i="5"/>
  <c r="BQ226" i="5"/>
  <c r="J224" i="5"/>
  <c r="BT223" i="5"/>
  <c r="AK231" i="5"/>
  <c r="BZ222" i="5"/>
  <c r="CA222" i="5"/>
  <c r="Y220" i="5"/>
  <c r="S220" i="5"/>
  <c r="V219" i="5"/>
  <c r="W219" i="5"/>
  <c r="S217" i="5"/>
  <c r="T217" i="5"/>
  <c r="V216" i="5"/>
  <c r="AG214" i="5"/>
  <c r="AH214" i="5"/>
  <c r="V213" i="5"/>
  <c r="P213" i="5"/>
  <c r="J213" i="5"/>
  <c r="BS212" i="5"/>
  <c r="BT212" i="5"/>
  <c r="Y212" i="5"/>
  <c r="S212" i="5"/>
  <c r="M212" i="5"/>
  <c r="G212" i="5"/>
  <c r="V211" i="5"/>
  <c r="P211" i="5"/>
  <c r="J211" i="5"/>
  <c r="D211" i="5"/>
  <c r="BS210" i="5"/>
  <c r="BT210" i="5"/>
  <c r="S210" i="5"/>
  <c r="T210" i="5"/>
  <c r="M210" i="5"/>
  <c r="D210" i="5"/>
  <c r="BS209" i="5"/>
  <c r="BT209" i="5"/>
  <c r="V209" i="5"/>
  <c r="W209" i="5"/>
  <c r="M209" i="5"/>
  <c r="P208" i="5"/>
  <c r="Q208" i="5"/>
  <c r="Y207" i="5"/>
  <c r="Z207" i="5"/>
  <c r="G207" i="5"/>
  <c r="V206" i="5"/>
  <c r="W206" i="5"/>
  <c r="G206" i="5"/>
  <c r="AY196" i="5"/>
  <c r="BE196" i="5"/>
  <c r="BK195" i="5"/>
  <c r="H195" i="5"/>
  <c r="BS193" i="5"/>
  <c r="BT193" i="5"/>
  <c r="BK193" i="5"/>
  <c r="V193" i="5"/>
  <c r="W193" i="5"/>
  <c r="H193" i="5"/>
  <c r="AZ192" i="5"/>
  <c r="G192" i="5"/>
  <c r="BE190" i="5"/>
  <c r="P190" i="5"/>
  <c r="AP196" i="5"/>
  <c r="AB187" i="5"/>
  <c r="AC187" i="5"/>
  <c r="N161" i="5"/>
  <c r="M161" i="5"/>
  <c r="BS136" i="5"/>
  <c r="BT136" i="5"/>
  <c r="BS131" i="5"/>
  <c r="BT131" i="5"/>
  <c r="AE196" i="5"/>
  <c r="AZ188" i="5"/>
  <c r="BK171" i="5"/>
  <c r="V170" i="5"/>
  <c r="M168" i="5"/>
  <c r="N167" i="5"/>
  <c r="BZ166" i="5"/>
  <c r="CA166" i="5"/>
  <c r="BS166" i="5"/>
  <c r="BT166" i="5"/>
  <c r="J164" i="5"/>
  <c r="M164" i="5"/>
  <c r="K164" i="5"/>
  <c r="G163" i="5"/>
  <c r="J163" i="5"/>
  <c r="H163" i="5"/>
  <c r="BZ159" i="5"/>
  <c r="CA159" i="5"/>
  <c r="AE174" i="5"/>
  <c r="P157" i="5"/>
  <c r="AG139" i="5"/>
  <c r="AH139" i="5"/>
  <c r="BS113" i="5"/>
  <c r="BT113" i="5"/>
  <c r="BV18" i="5"/>
  <c r="AB10" i="4"/>
  <c r="AC10" i="4"/>
  <c r="E249" i="5"/>
  <c r="E244" i="5"/>
  <c r="AG227" i="5"/>
  <c r="AH227" i="5"/>
  <c r="AG226" i="5"/>
  <c r="AH226" i="5"/>
  <c r="D218" i="5"/>
  <c r="V215" i="5"/>
  <c r="BS213" i="5"/>
  <c r="BT213" i="5"/>
  <c r="BK213" i="5"/>
  <c r="AT212" i="5"/>
  <c r="AU212" i="5"/>
  <c r="BK211" i="5"/>
  <c r="K206" i="5"/>
  <c r="AZ195" i="5"/>
  <c r="BJ192" i="5"/>
  <c r="P161" i="5"/>
  <c r="Q161" i="5"/>
  <c r="J160" i="5"/>
  <c r="N156" i="5"/>
  <c r="Y154" i="5"/>
  <c r="Z154" i="5"/>
  <c r="AG136" i="5"/>
  <c r="AH136" i="5"/>
  <c r="H132" i="5"/>
  <c r="G132" i="5"/>
  <c r="M131" i="5"/>
  <c r="P131" i="5"/>
  <c r="Q131" i="5"/>
  <c r="N131" i="5"/>
  <c r="D32" i="5"/>
  <c r="E32" i="5"/>
  <c r="J25" i="4"/>
  <c r="AS24" i="4"/>
  <c r="AS24" i="5"/>
  <c r="G24" i="4"/>
  <c r="CA20" i="4"/>
  <c r="CB20" i="4"/>
  <c r="V18" i="4"/>
  <c r="W18" i="4"/>
  <c r="M18" i="4"/>
  <c r="D15" i="4"/>
  <c r="E13" i="4"/>
  <c r="AS11" i="4"/>
  <c r="AV11" i="4"/>
  <c r="AW11" i="4"/>
  <c r="AJ48" i="5"/>
  <c r="G249" i="5"/>
  <c r="CC248" i="5"/>
  <c r="D248" i="5"/>
  <c r="D247" i="5"/>
  <c r="D246" i="5"/>
  <c r="J245" i="5"/>
  <c r="E245" i="5"/>
  <c r="G244" i="5"/>
  <c r="N243" i="5"/>
  <c r="N241" i="5"/>
  <c r="N239" i="5"/>
  <c r="AT228" i="5"/>
  <c r="AU228" i="5"/>
  <c r="BK226" i="5"/>
  <c r="BZ225" i="5"/>
  <c r="CA225" i="5"/>
  <c r="AT224" i="5"/>
  <c r="AU224" i="5"/>
  <c r="BZ223" i="5"/>
  <c r="CA223" i="5"/>
  <c r="AB223" i="5"/>
  <c r="AC223" i="5"/>
  <c r="G223" i="5"/>
  <c r="AT222" i="5"/>
  <c r="AU222" i="5"/>
  <c r="AN231" i="5"/>
  <c r="BS221" i="5"/>
  <c r="BT221" i="5"/>
  <c r="BK221" i="5"/>
  <c r="Y221" i="5"/>
  <c r="Z221" i="5"/>
  <c r="BK218" i="5"/>
  <c r="Y216" i="5"/>
  <c r="BK215" i="5"/>
  <c r="P215" i="5"/>
  <c r="V214" i="5"/>
  <c r="W214" i="5"/>
  <c r="BM210" i="5"/>
  <c r="BN210" i="5"/>
  <c r="N210" i="5"/>
  <c r="G210" i="5"/>
  <c r="AT209" i="5"/>
  <c r="AU209" i="5"/>
  <c r="P209" i="5"/>
  <c r="Q209" i="5"/>
  <c r="J208" i="5"/>
  <c r="D208" i="5"/>
  <c r="BP207" i="5"/>
  <c r="BQ207" i="5"/>
  <c r="AT207" i="5"/>
  <c r="AU207" i="5"/>
  <c r="D207" i="5"/>
  <c r="D206" i="5"/>
  <c r="P195" i="5"/>
  <c r="Q195" i="5"/>
  <c r="G195" i="5"/>
  <c r="G193" i="5"/>
  <c r="BP192" i="5"/>
  <c r="BQ192" i="5"/>
  <c r="H192" i="5"/>
  <c r="E192" i="5"/>
  <c r="N191" i="5"/>
  <c r="BK190" i="5"/>
  <c r="G190" i="5"/>
  <c r="AT189" i="5"/>
  <c r="AU189" i="5"/>
  <c r="V187" i="5"/>
  <c r="W187" i="5"/>
  <c r="BP170" i="5"/>
  <c r="BQ170" i="5"/>
  <c r="BM167" i="5"/>
  <c r="BN167" i="5"/>
  <c r="BZ163" i="5"/>
  <c r="CA163" i="5"/>
  <c r="BS163" i="5"/>
  <c r="BT163" i="5"/>
  <c r="AG131" i="5"/>
  <c r="AH131" i="5"/>
  <c r="BM131" i="5"/>
  <c r="BN131" i="5"/>
  <c r="V131" i="5"/>
  <c r="W131" i="5"/>
  <c r="BP130" i="5"/>
  <c r="BQ130" i="5"/>
  <c r="P168" i="5"/>
  <c r="Q168" i="5"/>
  <c r="G168" i="5"/>
  <c r="K167" i="5"/>
  <c r="Y166" i="5"/>
  <c r="Z166" i="5"/>
  <c r="K166" i="5"/>
  <c r="BP165" i="5"/>
  <c r="BQ165" i="5"/>
  <c r="Y165" i="5"/>
  <c r="Z165" i="5"/>
  <c r="BM164" i="5"/>
  <c r="BN164" i="5"/>
  <c r="BK162" i="5"/>
  <c r="V162" i="5"/>
  <c r="W162" i="5"/>
  <c r="P162" i="5"/>
  <c r="Q162" i="5"/>
  <c r="BP161" i="5"/>
  <c r="BQ161" i="5"/>
  <c r="Y157" i="5"/>
  <c r="M155" i="5"/>
  <c r="AB154" i="5"/>
  <c r="AC154" i="5"/>
  <c r="BJ141" i="5"/>
  <c r="BM138" i="5"/>
  <c r="BN138" i="5"/>
  <c r="AN141" i="5"/>
  <c r="V134" i="5"/>
  <c r="S133" i="5"/>
  <c r="T133" i="5"/>
  <c r="P132" i="5"/>
  <c r="Q132" i="5"/>
  <c r="V129" i="5"/>
  <c r="W129" i="5"/>
  <c r="E129" i="5"/>
  <c r="P128" i="5"/>
  <c r="Q128" i="5"/>
  <c r="Y127" i="5"/>
  <c r="BE116" i="5"/>
  <c r="Y112" i="5"/>
  <c r="BS111" i="5"/>
  <c r="BT111" i="5"/>
  <c r="Y111" i="5"/>
  <c r="Z111" i="5"/>
  <c r="P111" i="5"/>
  <c r="Y110" i="5"/>
  <c r="S110" i="5"/>
  <c r="BK109" i="5"/>
  <c r="AB109" i="5"/>
  <c r="AC109" i="5"/>
  <c r="P109" i="5"/>
  <c r="BS108" i="5"/>
  <c r="BT108" i="5"/>
  <c r="S106" i="5"/>
  <c r="T106" i="5"/>
  <c r="G106" i="5"/>
  <c r="V105" i="5"/>
  <c r="D105" i="5"/>
  <c r="BS104" i="5"/>
  <c r="BT104" i="5"/>
  <c r="S104" i="5"/>
  <c r="T104" i="5"/>
  <c r="M104" i="5"/>
  <c r="M102" i="5"/>
  <c r="G102" i="5"/>
  <c r="S101" i="5"/>
  <c r="T101" i="5"/>
  <c r="N101" i="5"/>
  <c r="D101" i="5"/>
  <c r="BS100" i="5"/>
  <c r="BT100" i="5"/>
  <c r="G100" i="5"/>
  <c r="S99" i="5"/>
  <c r="T99" i="5"/>
  <c r="J99" i="5"/>
  <c r="D99" i="5"/>
  <c r="D98" i="5"/>
  <c r="BS97" i="5"/>
  <c r="BT97" i="5"/>
  <c r="H94" i="5"/>
  <c r="G94" i="5"/>
  <c r="BS75" i="5"/>
  <c r="BT75" i="5"/>
  <c r="BZ75" i="5"/>
  <c r="CA75" i="5"/>
  <c r="S75" i="5"/>
  <c r="T75" i="5"/>
  <c r="P74" i="5"/>
  <c r="Q74" i="5"/>
  <c r="D74" i="5"/>
  <c r="S72" i="5"/>
  <c r="V72" i="5"/>
  <c r="BS71" i="5"/>
  <c r="BT71" i="5"/>
  <c r="BZ71" i="5"/>
  <c r="CA71" i="5"/>
  <c r="AB71" i="5"/>
  <c r="AC71" i="5"/>
  <c r="BZ70" i="5"/>
  <c r="CA70" i="5"/>
  <c r="BS70" i="5"/>
  <c r="BT70" i="5"/>
  <c r="S67" i="5"/>
  <c r="T67" i="5"/>
  <c r="K66" i="5"/>
  <c r="J66" i="5"/>
  <c r="BE65" i="5"/>
  <c r="BJ65" i="5"/>
  <c r="AY81" i="5"/>
  <c r="BJ81" i="5"/>
  <c r="V62" i="5"/>
  <c r="W62" i="5"/>
  <c r="Y62" i="5"/>
  <c r="Z62" i="5"/>
  <c r="V96" i="5"/>
  <c r="W96" i="5"/>
  <c r="Y96" i="5"/>
  <c r="Z96" i="5"/>
  <c r="P94" i="5"/>
  <c r="Q94" i="5"/>
  <c r="S94" i="5"/>
  <c r="T94" i="5"/>
  <c r="N93" i="5"/>
  <c r="AG80" i="5"/>
  <c r="AH80" i="5"/>
  <c r="BP80" i="5"/>
  <c r="BQ80" i="5"/>
  <c r="BP77" i="5"/>
  <c r="BQ77" i="5"/>
  <c r="BS77" i="5"/>
  <c r="BT77" i="5"/>
  <c r="M165" i="5"/>
  <c r="M162" i="5"/>
  <c r="BK158" i="5"/>
  <c r="BM139" i="5"/>
  <c r="BN139" i="5"/>
  <c r="D130" i="5"/>
  <c r="BK115" i="5"/>
  <c r="BM107" i="5"/>
  <c r="BN107" i="5"/>
  <c r="BK105" i="5"/>
  <c r="P102" i="5"/>
  <c r="Q102" i="5"/>
  <c r="AB101" i="5"/>
  <c r="AC101" i="5"/>
  <c r="P101" i="5"/>
  <c r="Q101" i="5"/>
  <c r="S100" i="5"/>
  <c r="T100" i="5"/>
  <c r="E99" i="5"/>
  <c r="BK97" i="5"/>
  <c r="J96" i="5"/>
  <c r="K96" i="5"/>
  <c r="J76" i="5"/>
  <c r="K76" i="5"/>
  <c r="M68" i="5"/>
  <c r="D66" i="5"/>
  <c r="H66" i="5"/>
  <c r="AL81" i="5"/>
  <c r="BS58" i="5"/>
  <c r="BT58" i="5"/>
  <c r="BZ58" i="5"/>
  <c r="CA58" i="5"/>
  <c r="BP39" i="5"/>
  <c r="BQ39" i="5"/>
  <c r="BS39" i="5"/>
  <c r="BT39" i="5"/>
  <c r="M30" i="5"/>
  <c r="N30" i="5"/>
  <c r="D187" i="5"/>
  <c r="V172" i="5"/>
  <c r="D172" i="5"/>
  <c r="BM169" i="5"/>
  <c r="BN169" i="5"/>
  <c r="V169" i="5"/>
  <c r="W169" i="5"/>
  <c r="P169" i="5"/>
  <c r="BK168" i="5"/>
  <c r="BP167" i="5"/>
  <c r="BQ167" i="5"/>
  <c r="Y167" i="5"/>
  <c r="Z167" i="5"/>
  <c r="J167" i="5"/>
  <c r="S166" i="5"/>
  <c r="T166" i="5"/>
  <c r="J166" i="5"/>
  <c r="V164" i="5"/>
  <c r="W164" i="5"/>
  <c r="H164" i="5"/>
  <c r="Y163" i="5"/>
  <c r="Z163" i="5"/>
  <c r="E163" i="5"/>
  <c r="BK161" i="5"/>
  <c r="S161" i="5"/>
  <c r="T161" i="5"/>
  <c r="J161" i="5"/>
  <c r="Y159" i="5"/>
  <c r="Z159" i="5"/>
  <c r="P156" i="5"/>
  <c r="Q156" i="5"/>
  <c r="N155" i="5"/>
  <c r="AP141" i="5"/>
  <c r="BK138" i="5"/>
  <c r="Y137" i="5"/>
  <c r="Y136" i="5"/>
  <c r="Z136" i="5"/>
  <c r="M135" i="5"/>
  <c r="BK134" i="5"/>
  <c r="D132" i="5"/>
  <c r="BK130" i="5"/>
  <c r="BM129" i="5"/>
  <c r="BN129" i="5"/>
  <c r="D129" i="5"/>
  <c r="AB128" i="5"/>
  <c r="BM115" i="5"/>
  <c r="BN115" i="5"/>
  <c r="S109" i="5"/>
  <c r="BP108" i="5"/>
  <c r="BQ108" i="5"/>
  <c r="S108" i="5"/>
  <c r="V107" i="5"/>
  <c r="W107" i="5"/>
  <c r="J106" i="5"/>
  <c r="BP105" i="5"/>
  <c r="BQ105" i="5"/>
  <c r="S105" i="5"/>
  <c r="T105" i="5"/>
  <c r="G105" i="5"/>
  <c r="N104" i="5"/>
  <c r="D104" i="5"/>
  <c r="Y103" i="5"/>
  <c r="Z103" i="5"/>
  <c r="K102" i="5"/>
  <c r="E100" i="5"/>
  <c r="G99" i="5"/>
  <c r="E98" i="5"/>
  <c r="BP97" i="5"/>
  <c r="BQ97" i="5"/>
  <c r="P97" i="5"/>
  <c r="Q97" i="5"/>
  <c r="P96" i="5"/>
  <c r="Q96" i="5"/>
  <c r="S96" i="5"/>
  <c r="T96" i="5"/>
  <c r="K95" i="5"/>
  <c r="BP93" i="5"/>
  <c r="BQ93" i="5"/>
  <c r="BS93" i="5"/>
  <c r="BT93" i="5"/>
  <c r="G74" i="5"/>
  <c r="H74" i="5"/>
  <c r="BS73" i="5"/>
  <c r="BT73" i="5"/>
  <c r="BZ73" i="5"/>
  <c r="CA73" i="5"/>
  <c r="BK72" i="5"/>
  <c r="BS69" i="5"/>
  <c r="BT69" i="5"/>
  <c r="BZ69" i="5"/>
  <c r="CA69" i="5"/>
  <c r="J34" i="5"/>
  <c r="K34" i="5"/>
  <c r="P32" i="5"/>
  <c r="Q32" i="5"/>
  <c r="N92" i="5"/>
  <c r="BM77" i="5"/>
  <c r="BN77" i="5"/>
  <c r="AE81" i="5"/>
  <c r="AG74" i="5"/>
  <c r="AH74" i="5"/>
  <c r="BM72" i="5"/>
  <c r="BN72" i="5"/>
  <c r="S69" i="5"/>
  <c r="BJ68" i="5"/>
  <c r="N68" i="5"/>
  <c r="G67" i="5"/>
  <c r="AG66" i="5"/>
  <c r="AH66" i="5"/>
  <c r="E66" i="5"/>
  <c r="AB64" i="5"/>
  <c r="AC64" i="5"/>
  <c r="J62" i="5"/>
  <c r="K62" i="5"/>
  <c r="V61" i="5"/>
  <c r="W61" i="5"/>
  <c r="S60" i="5"/>
  <c r="T60" i="5"/>
  <c r="V60" i="5"/>
  <c r="W60" i="5"/>
  <c r="BK59" i="5"/>
  <c r="K31" i="5"/>
  <c r="M31" i="5"/>
  <c r="D29" i="5"/>
  <c r="E29" i="5"/>
  <c r="G29" i="5"/>
  <c r="N96" i="5"/>
  <c r="Y95" i="5"/>
  <c r="Z95" i="5"/>
  <c r="AB94" i="5"/>
  <c r="AC94" i="5"/>
  <c r="S93" i="5"/>
  <c r="T93" i="5"/>
  <c r="M93" i="5"/>
  <c r="BK79" i="5"/>
  <c r="BK78" i="5"/>
  <c r="N76" i="5"/>
  <c r="M73" i="5"/>
  <c r="Y72" i="5"/>
  <c r="AS70" i="5"/>
  <c r="BB70" i="5"/>
  <c r="BC70" i="5"/>
  <c r="Y69" i="5"/>
  <c r="J67" i="5"/>
  <c r="D67" i="5"/>
  <c r="BS66" i="5"/>
  <c r="BT66" i="5"/>
  <c r="AG63" i="5"/>
  <c r="AH63" i="5"/>
  <c r="P62" i="5"/>
  <c r="Q62" i="5"/>
  <c r="S62" i="5"/>
  <c r="T62" i="5"/>
  <c r="M34" i="5"/>
  <c r="N34" i="5"/>
  <c r="V29" i="5"/>
  <c r="W29" i="5"/>
  <c r="Y29" i="5"/>
  <c r="Z29" i="5"/>
  <c r="H19" i="5"/>
  <c r="K19" i="5"/>
  <c r="G19" i="5"/>
  <c r="AE48" i="5"/>
  <c r="BM96" i="5"/>
  <c r="BN96" i="5"/>
  <c r="BK94" i="5"/>
  <c r="BK92" i="5"/>
  <c r="BK93" i="5"/>
  <c r="BK104" i="5"/>
  <c r="BK107" i="5"/>
  <c r="BK116" i="5"/>
  <c r="Y93" i="5"/>
  <c r="Z93" i="5"/>
  <c r="BM80" i="5"/>
  <c r="BN80" i="5"/>
  <c r="Y78" i="5"/>
  <c r="Z78" i="5"/>
  <c r="AB77" i="5"/>
  <c r="S77" i="5"/>
  <c r="BK76" i="5"/>
  <c r="S76" i="5"/>
  <c r="T76" i="5"/>
  <c r="D76" i="5"/>
  <c r="BP74" i="5"/>
  <c r="BQ74" i="5"/>
  <c r="BK74" i="5"/>
  <c r="V74" i="5"/>
  <c r="W74" i="5"/>
  <c r="AB72" i="5"/>
  <c r="E71" i="5"/>
  <c r="BE61" i="5"/>
  <c r="BJ61" i="5"/>
  <c r="BE58" i="5"/>
  <c r="BJ58" i="5"/>
  <c r="AG58" i="5"/>
  <c r="AH58" i="5"/>
  <c r="BZ35" i="5"/>
  <c r="CA35" i="5"/>
  <c r="BW48" i="5"/>
  <c r="J29" i="5"/>
  <c r="K29" i="5"/>
  <c r="K28" i="5"/>
  <c r="J28" i="5"/>
  <c r="N28" i="5"/>
  <c r="BZ15" i="5"/>
  <c r="CA15" i="5"/>
  <c r="BS15" i="5"/>
  <c r="BT15" i="5"/>
  <c r="BE48" i="5"/>
  <c r="AO48" i="5"/>
  <c r="AK48" i="5"/>
  <c r="M21" i="5"/>
  <c r="CF14" i="5"/>
  <c r="CG14" i="5"/>
  <c r="CF19" i="5"/>
  <c r="CG19" i="5"/>
  <c r="CF13" i="5"/>
  <c r="CG13" i="5"/>
  <c r="CF18" i="5"/>
  <c r="CG18" i="5"/>
  <c r="CF26" i="5"/>
  <c r="CG26" i="5"/>
  <c r="BP13" i="5"/>
  <c r="AG13" i="5"/>
  <c r="AH13" i="5"/>
  <c r="AF17" i="5"/>
  <c r="BM17" i="5"/>
  <c r="BN17" i="5"/>
  <c r="BM7" i="5"/>
  <c r="BN7" i="5"/>
  <c r="AG9" i="5"/>
  <c r="AF14" i="5"/>
  <c r="AF16" i="5"/>
  <c r="BP16" i="5"/>
  <c r="BQ16" i="5"/>
  <c r="AF19" i="5"/>
  <c r="AG19" i="5"/>
  <c r="AH19" i="5"/>
  <c r="AF24" i="5"/>
  <c r="AG24" i="5"/>
  <c r="AH24" i="5"/>
  <c r="AF8" i="5"/>
  <c r="AF11" i="5"/>
  <c r="AG11" i="5"/>
  <c r="BP11" i="5"/>
  <c r="BQ11" i="5"/>
  <c r="AF15" i="5"/>
  <c r="AG15" i="5"/>
  <c r="AH15" i="5"/>
  <c r="AF22" i="5"/>
  <c r="AG22" i="5"/>
  <c r="AH22" i="5"/>
  <c r="AF23" i="5"/>
  <c r="AF25" i="5"/>
  <c r="AG25" i="5"/>
  <c r="AH25" i="5"/>
  <c r="R10" i="5"/>
  <c r="R15" i="5"/>
  <c r="S15" i="5"/>
  <c r="T15" i="5"/>
  <c r="R23" i="5"/>
  <c r="R7" i="5"/>
  <c r="V7" i="5"/>
  <c r="W7" i="5"/>
  <c r="R13" i="5"/>
  <c r="S13" i="5"/>
  <c r="T13" i="5"/>
  <c r="R16" i="5"/>
  <c r="S16" i="5"/>
  <c r="T16" i="5"/>
  <c r="R19" i="5"/>
  <c r="S19" i="5"/>
  <c r="T19" i="5"/>
  <c r="R22" i="5"/>
  <c r="R25" i="5"/>
  <c r="R8" i="5"/>
  <c r="S8" i="5"/>
  <c r="T8" i="5"/>
  <c r="R9" i="5"/>
  <c r="S9" i="5"/>
  <c r="T9" i="5"/>
  <c r="R17" i="5"/>
  <c r="R20" i="5"/>
  <c r="R21" i="5"/>
  <c r="S21" i="5"/>
  <c r="T21" i="5"/>
  <c r="R26" i="5"/>
  <c r="S26" i="5"/>
  <c r="T26" i="5"/>
  <c r="R27" i="5"/>
  <c r="S27" i="5"/>
  <c r="T27" i="5"/>
  <c r="F8" i="5"/>
  <c r="F10" i="5"/>
  <c r="F7" i="5"/>
  <c r="H7" i="5"/>
  <c r="F9" i="5"/>
  <c r="J9" i="5"/>
  <c r="F15" i="5"/>
  <c r="K15" i="5"/>
  <c r="F27" i="5"/>
  <c r="H27" i="5"/>
  <c r="Y61" i="5"/>
  <c r="Z61" i="5"/>
  <c r="AG59" i="5"/>
  <c r="AH59" i="5"/>
  <c r="BP37" i="5"/>
  <c r="BQ37" i="5"/>
  <c r="AL48" i="5"/>
  <c r="Y34" i="5"/>
  <c r="Z34" i="5"/>
  <c r="BS31" i="5"/>
  <c r="BT31" i="5"/>
  <c r="BK31" i="5"/>
  <c r="AB31" i="5"/>
  <c r="AC31" i="5"/>
  <c r="AG30" i="5"/>
  <c r="AH30" i="5"/>
  <c r="M29" i="5"/>
  <c r="BS27" i="5"/>
  <c r="BT27" i="5"/>
  <c r="BZ27" i="5"/>
  <c r="CA27" i="5"/>
  <c r="G66" i="5"/>
  <c r="BK63" i="5"/>
  <c r="D61" i="5"/>
  <c r="J60" i="5"/>
  <c r="D59" i="5"/>
  <c r="BM44" i="5"/>
  <c r="BN44" i="5"/>
  <c r="CC42" i="5"/>
  <c r="CD42" i="5"/>
  <c r="P35" i="5"/>
  <c r="Q35" i="5"/>
  <c r="BP34" i="5"/>
  <c r="BQ34" i="5"/>
  <c r="BK34" i="5"/>
  <c r="V32" i="5"/>
  <c r="W32" i="5"/>
  <c r="BK30" i="5"/>
  <c r="S28" i="5"/>
  <c r="T28" i="5"/>
  <c r="M28" i="5"/>
  <c r="D28" i="5"/>
  <c r="BP27" i="5"/>
  <c r="BQ27" i="5"/>
  <c r="BM26" i="5"/>
  <c r="BN26" i="5"/>
  <c r="AB15" i="5"/>
  <c r="AC15" i="5"/>
  <c r="BM12" i="5"/>
  <c r="BN12" i="5"/>
  <c r="E10" i="5"/>
  <c r="D10" i="5"/>
  <c r="BM27" i="5"/>
  <c r="BN27" i="5"/>
  <c r="AB27" i="5"/>
  <c r="AC27" i="5"/>
  <c r="AB26" i="5"/>
  <c r="AC26" i="5"/>
  <c r="BS23" i="5"/>
  <c r="BT23" i="5"/>
  <c r="P23" i="5"/>
  <c r="Q23" i="5"/>
  <c r="AB21" i="5"/>
  <c r="AC21" i="5"/>
  <c r="J14" i="5"/>
  <c r="N9" i="5"/>
  <c r="BK8" i="5"/>
  <c r="D8" i="5"/>
  <c r="BS26" i="5"/>
  <c r="BT26" i="5"/>
  <c r="BK26" i="5"/>
  <c r="N26" i="5"/>
  <c r="BK24" i="5"/>
  <c r="BM21" i="5"/>
  <c r="BN21" i="5"/>
  <c r="BK20" i="5"/>
  <c r="N8" i="5"/>
  <c r="BP26" i="5"/>
  <c r="BQ26" i="5"/>
  <c r="BS24" i="5"/>
  <c r="BT24" i="5"/>
  <c r="AB23" i="5"/>
  <c r="AC23" i="5"/>
  <c r="P19" i="5"/>
  <c r="Q19" i="5"/>
  <c r="J19" i="5"/>
  <c r="V14" i="5"/>
  <c r="W14" i="5"/>
  <c r="BZ11" i="5"/>
  <c r="CA11" i="5"/>
  <c r="BS8" i="5"/>
  <c r="BT8" i="5"/>
  <c r="BW176" i="5"/>
  <c r="H250" i="5"/>
  <c r="G250" i="5"/>
  <c r="H249" i="5"/>
  <c r="J248" i="5"/>
  <c r="CC246" i="5"/>
  <c r="G246" i="5"/>
  <c r="H245" i="5"/>
  <c r="H244" i="5"/>
  <c r="H243" i="5"/>
  <c r="H241" i="5"/>
  <c r="H239" i="5"/>
  <c r="N238" i="5"/>
  <c r="E238" i="5"/>
  <c r="CC237" i="5"/>
  <c r="N251" i="5"/>
  <c r="E250" i="5"/>
  <c r="CC249" i="5"/>
  <c r="J247" i="5"/>
  <c r="E246" i="5"/>
  <c r="CC245" i="5"/>
  <c r="M243" i="5"/>
  <c r="M241" i="5"/>
  <c r="M239" i="5"/>
  <c r="J238" i="5"/>
  <c r="D251" i="5"/>
  <c r="G248" i="5"/>
  <c r="H247" i="5"/>
  <c r="CC244" i="5"/>
  <c r="CC243" i="5"/>
  <c r="N242" i="5"/>
  <c r="H242" i="5"/>
  <c r="N240" i="5"/>
  <c r="H240" i="5"/>
  <c r="H238" i="5"/>
  <c r="N237" i="5"/>
  <c r="H237" i="5"/>
  <c r="AD11" i="3"/>
  <c r="X10" i="3"/>
  <c r="AG231" i="5"/>
  <c r="AH231" i="5"/>
  <c r="AZ231" i="5"/>
  <c r="D231" i="5"/>
  <c r="E231" i="5"/>
  <c r="BY222" i="5"/>
  <c r="CC222" i="5"/>
  <c r="CD222" i="5"/>
  <c r="BY213" i="5"/>
  <c r="CC213" i="5"/>
  <c r="CD213" i="5"/>
  <c r="BU210" i="5"/>
  <c r="BV210" i="5"/>
  <c r="BM214" i="4"/>
  <c r="BQ214" i="4"/>
  <c r="AF196" i="5"/>
  <c r="AG196" i="5"/>
  <c r="AH196" i="5"/>
  <c r="AG200" i="4"/>
  <c r="AH200" i="4"/>
  <c r="AV202" i="4"/>
  <c r="AW202" i="4"/>
  <c r="BY193" i="5"/>
  <c r="BZ193" i="5"/>
  <c r="CA193" i="5"/>
  <c r="CA197" i="4"/>
  <c r="CB197" i="4"/>
  <c r="BY130" i="5"/>
  <c r="CC130" i="5"/>
  <c r="CD130" i="5"/>
  <c r="AR75" i="5"/>
  <c r="AT75" i="5"/>
  <c r="AU75" i="5"/>
  <c r="AS76" i="4"/>
  <c r="BM76" i="4"/>
  <c r="BQ76" i="4"/>
  <c r="BU65" i="5"/>
  <c r="BV65" i="5"/>
  <c r="BY62" i="5"/>
  <c r="CC62" i="5"/>
  <c r="CD62" i="5"/>
  <c r="CA63" i="4"/>
  <c r="CB63" i="4"/>
  <c r="BU36" i="5"/>
  <c r="BV36" i="5"/>
  <c r="AR22" i="5"/>
  <c r="AT22" i="5"/>
  <c r="AU22" i="5"/>
  <c r="AS22" i="4"/>
  <c r="BY19" i="5"/>
  <c r="CA19" i="4"/>
  <c r="CB19" i="4"/>
  <c r="CB253" i="4"/>
  <c r="CB252" i="4"/>
  <c r="CB251" i="4"/>
  <c r="CB250" i="4"/>
  <c r="CB249" i="4"/>
  <c r="CB248" i="4"/>
  <c r="CB247" i="4"/>
  <c r="CB246" i="4"/>
  <c r="CB245" i="4"/>
  <c r="CB244" i="4"/>
  <c r="CB243" i="4"/>
  <c r="CB242" i="4"/>
  <c r="CB241" i="4"/>
  <c r="CB240" i="4"/>
  <c r="AB231" i="5"/>
  <c r="AC231" i="5"/>
  <c r="H231" i="5"/>
  <c r="G231" i="5"/>
  <c r="BY229" i="5"/>
  <c r="CA233" i="4"/>
  <c r="CB233" i="4"/>
  <c r="BY228" i="5"/>
  <c r="CC228" i="5"/>
  <c r="CD228" i="5"/>
  <c r="CA232" i="4"/>
  <c r="CB232" i="4"/>
  <c r="AS225" i="5"/>
  <c r="AT229" i="4"/>
  <c r="AU229" i="4"/>
  <c r="BY223" i="5"/>
  <c r="CC223" i="5"/>
  <c r="CD223" i="5"/>
  <c r="AS220" i="5"/>
  <c r="AV220" i="5"/>
  <c r="AW220" i="5"/>
  <c r="AT224" i="4"/>
  <c r="AU224" i="4"/>
  <c r="BY215" i="5"/>
  <c r="CC215" i="5"/>
  <c r="CD215" i="5"/>
  <c r="AS214" i="5"/>
  <c r="BU211" i="5"/>
  <c r="BV211" i="5"/>
  <c r="BM215" i="4"/>
  <c r="BQ215" i="4"/>
  <c r="BX168" i="5"/>
  <c r="BX207" i="5"/>
  <c r="BX231" i="5"/>
  <c r="X196" i="5"/>
  <c r="AB196" i="5"/>
  <c r="Y200" i="4"/>
  <c r="Z200" i="4"/>
  <c r="BU192" i="5"/>
  <c r="BV192" i="5"/>
  <c r="AR192" i="5"/>
  <c r="AS196" i="4"/>
  <c r="BX189" i="5"/>
  <c r="BX196" i="5"/>
  <c r="BW200" i="4"/>
  <c r="AT193" i="4"/>
  <c r="AU193" i="4"/>
  <c r="BU171" i="5"/>
  <c r="BY170" i="5"/>
  <c r="CC170" i="5"/>
  <c r="CD170" i="5"/>
  <c r="CA171" i="4"/>
  <c r="CB171" i="4"/>
  <c r="AR170" i="5"/>
  <c r="AT170" i="5"/>
  <c r="AU170" i="5"/>
  <c r="AS171" i="4"/>
  <c r="BY169" i="5"/>
  <c r="CC169" i="5"/>
  <c r="CD169" i="5"/>
  <c r="CA170" i="4"/>
  <c r="CB170" i="4"/>
  <c r="O158" i="5"/>
  <c r="S158" i="5"/>
  <c r="T158" i="5"/>
  <c r="P158" i="5"/>
  <c r="Q158" i="5"/>
  <c r="O176" i="4"/>
  <c r="P159" i="4"/>
  <c r="Q159" i="4"/>
  <c r="BY157" i="5"/>
  <c r="CA158" i="4"/>
  <c r="CB158" i="4"/>
  <c r="BY155" i="5"/>
  <c r="BZ176" i="4"/>
  <c r="CA156" i="4"/>
  <c r="CB156" i="4"/>
  <c r="AR155" i="5"/>
  <c r="AT155" i="5"/>
  <c r="AU155" i="5"/>
  <c r="AS156" i="4"/>
  <c r="BM156" i="4"/>
  <c r="BQ156" i="4"/>
  <c r="AM154" i="5"/>
  <c r="AM174" i="5"/>
  <c r="AM176" i="4"/>
  <c r="BL142" i="4"/>
  <c r="AF141" i="5"/>
  <c r="AG142" i="4"/>
  <c r="AH142" i="4"/>
  <c r="BY135" i="5"/>
  <c r="CC135" i="5"/>
  <c r="CD135" i="5"/>
  <c r="BY132" i="5"/>
  <c r="CC132" i="5"/>
  <c r="CD132" i="5"/>
  <c r="CA133" i="4"/>
  <c r="CB133" i="4"/>
  <c r="BY110" i="5"/>
  <c r="CA111" i="4"/>
  <c r="CB111" i="4"/>
  <c r="BU76" i="5"/>
  <c r="BV76" i="5"/>
  <c r="BU58" i="5"/>
  <c r="BV58" i="5"/>
  <c r="AR37" i="5"/>
  <c r="AT37" i="5"/>
  <c r="AS38" i="4"/>
  <c r="BU24" i="5"/>
  <c r="AR16" i="5"/>
  <c r="AT16" i="5"/>
  <c r="AU16" i="5"/>
  <c r="AS16" i="4"/>
  <c r="BM229" i="4"/>
  <c r="BQ229" i="4"/>
  <c r="AS221" i="5"/>
  <c r="AT225" i="4"/>
  <c r="AU225" i="4"/>
  <c r="BU209" i="5"/>
  <c r="BV209" i="5"/>
  <c r="BM213" i="4"/>
  <c r="BQ213" i="4"/>
  <c r="AR193" i="5"/>
  <c r="AT193" i="5"/>
  <c r="AU193" i="5"/>
  <c r="AS197" i="4"/>
  <c r="BU166" i="5"/>
  <c r="BV166" i="5"/>
  <c r="BU158" i="5"/>
  <c r="BV158" i="5"/>
  <c r="X116" i="5"/>
  <c r="Y117" i="4"/>
  <c r="Z117" i="4"/>
  <c r="BU103" i="5"/>
  <c r="BV103" i="5"/>
  <c r="BU99" i="5"/>
  <c r="AD81" i="5"/>
  <c r="AD84" i="4"/>
  <c r="AR69" i="5"/>
  <c r="AT69" i="5"/>
  <c r="AU69" i="5"/>
  <c r="AS70" i="4"/>
  <c r="BM70" i="4"/>
  <c r="BQ70" i="4"/>
  <c r="BY61" i="5"/>
  <c r="CC61" i="5"/>
  <c r="CD61" i="5"/>
  <c r="CA62" i="4"/>
  <c r="CB62" i="4"/>
  <c r="R48" i="5"/>
  <c r="S48" i="5"/>
  <c r="S48" i="4"/>
  <c r="T48" i="4"/>
  <c r="BU23" i="5"/>
  <c r="BV23" i="5"/>
  <c r="N247" i="5"/>
  <c r="M247" i="5"/>
  <c r="AY235" i="4"/>
  <c r="AZ235" i="4"/>
  <c r="J231" i="5"/>
  <c r="K231" i="5"/>
  <c r="E235" i="4"/>
  <c r="AV231" i="4"/>
  <c r="AW231" i="4"/>
  <c r="AV224" i="5"/>
  <c r="AW224" i="5"/>
  <c r="AT228" i="4"/>
  <c r="AU228" i="4"/>
  <c r="BM225" i="4"/>
  <c r="BQ225" i="4"/>
  <c r="BY220" i="5"/>
  <c r="CC220" i="5"/>
  <c r="CD220" i="5"/>
  <c r="CA224" i="4"/>
  <c r="CB224" i="4"/>
  <c r="AV223" i="4"/>
  <c r="AW223" i="4"/>
  <c r="AS207" i="5"/>
  <c r="AV207" i="5"/>
  <c r="AW207" i="5"/>
  <c r="AT211" i="4"/>
  <c r="AU211" i="4"/>
  <c r="AY200" i="4"/>
  <c r="AZ200" i="4"/>
  <c r="AJ200" i="4"/>
  <c r="AJ255" i="4"/>
  <c r="S200" i="4"/>
  <c r="T200" i="4"/>
  <c r="BU191" i="5"/>
  <c r="BV191" i="5"/>
  <c r="BU187" i="5"/>
  <c r="AJ196" i="5"/>
  <c r="X141" i="5"/>
  <c r="AM128" i="5"/>
  <c r="AM141" i="5"/>
  <c r="AM231" i="5"/>
  <c r="AM116" i="5"/>
  <c r="AM59" i="5"/>
  <c r="AM81" i="5"/>
  <c r="AM253" i="5"/>
  <c r="AM142" i="4"/>
  <c r="AR127" i="5"/>
  <c r="AR142" i="4"/>
  <c r="AS128" i="4"/>
  <c r="BM128" i="4"/>
  <c r="BQ128" i="4"/>
  <c r="AR111" i="5"/>
  <c r="AT111" i="5"/>
  <c r="AU111" i="5"/>
  <c r="AS112" i="4"/>
  <c r="AT112" i="4"/>
  <c r="AU112" i="4"/>
  <c r="BY107" i="5"/>
  <c r="CA108" i="4"/>
  <c r="CB108" i="4"/>
  <c r="BY106" i="5"/>
  <c r="CA107" i="4"/>
  <c r="CB107" i="4"/>
  <c r="BX94" i="5"/>
  <c r="BX116" i="5"/>
  <c r="BY78" i="5"/>
  <c r="CA79" i="4"/>
  <c r="CB79" i="4"/>
  <c r="AR76" i="5"/>
  <c r="AT76" i="5"/>
  <c r="AU76" i="5"/>
  <c r="AS77" i="4"/>
  <c r="BY69" i="5"/>
  <c r="CC69" i="5"/>
  <c r="CD69" i="5"/>
  <c r="CA70" i="4"/>
  <c r="CB70" i="4"/>
  <c r="AR66" i="5"/>
  <c r="AT66" i="5"/>
  <c r="AU66" i="5"/>
  <c r="AS67" i="4"/>
  <c r="BU63" i="5"/>
  <c r="BY60" i="5"/>
  <c r="CC60" i="5"/>
  <c r="CD60" i="5"/>
  <c r="CA61" i="4"/>
  <c r="CB61" i="4"/>
  <c r="BU59" i="5"/>
  <c r="AJ58" i="5"/>
  <c r="AJ81" i="5"/>
  <c r="AJ82" i="4"/>
  <c r="BU39" i="5"/>
  <c r="BV39" i="5"/>
  <c r="BY38" i="5"/>
  <c r="CC38" i="5"/>
  <c r="CD38" i="5"/>
  <c r="CA38" i="4"/>
  <c r="CB38" i="4"/>
  <c r="BU26" i="5"/>
  <c r="BV26" i="5"/>
  <c r="AR25" i="5"/>
  <c r="AT25" i="5"/>
  <c r="AU25" i="5"/>
  <c r="AS25" i="4"/>
  <c r="BU8" i="5"/>
  <c r="BV8" i="5"/>
  <c r="N249" i="5"/>
  <c r="M249" i="5"/>
  <c r="N245" i="5"/>
  <c r="M245" i="5"/>
  <c r="AA10" i="3"/>
  <c r="O7" i="3"/>
  <c r="P7" i="3"/>
  <c r="Q7" i="3"/>
  <c r="AB235" i="4"/>
  <c r="AC235" i="4"/>
  <c r="G235" i="4"/>
  <c r="BY212" i="5"/>
  <c r="BY187" i="5"/>
  <c r="BZ187" i="5"/>
  <c r="CA187" i="5"/>
  <c r="BU131" i="5"/>
  <c r="BV131" i="5"/>
  <c r="BU128" i="5"/>
  <c r="BV128" i="5"/>
  <c r="AR95" i="5"/>
  <c r="AT95" i="5"/>
  <c r="AU95" i="5"/>
  <c r="AS96" i="4"/>
  <c r="BY68" i="5"/>
  <c r="CC68" i="5"/>
  <c r="CD68" i="5"/>
  <c r="CA69" i="4"/>
  <c r="CB69" i="4"/>
  <c r="BY18" i="5"/>
  <c r="CC18" i="5"/>
  <c r="CA18" i="4"/>
  <c r="CB18" i="4"/>
  <c r="AD16" i="2"/>
  <c r="AD10" i="3"/>
  <c r="AA17" i="2"/>
  <c r="X17" i="2"/>
  <c r="X13" i="2"/>
  <c r="R11" i="2"/>
  <c r="AL255" i="4"/>
  <c r="BM253" i="4"/>
  <c r="BM252" i="4"/>
  <c r="BM251" i="4"/>
  <c r="BM250" i="4"/>
  <c r="BM249" i="4"/>
  <c r="BM248" i="4"/>
  <c r="BM247" i="4"/>
  <c r="BV243" i="5"/>
  <c r="BM246" i="4"/>
  <c r="BM245" i="4"/>
  <c r="BM244" i="4"/>
  <c r="BM242" i="4"/>
  <c r="BV238" i="5"/>
  <c r="BM241" i="4"/>
  <c r="BZ231" i="5"/>
  <c r="CA231" i="5"/>
  <c r="AG235" i="4"/>
  <c r="AH235" i="4"/>
  <c r="Y235" i="4"/>
  <c r="Z235" i="4"/>
  <c r="M231" i="5"/>
  <c r="H235" i="4"/>
  <c r="D235" i="4"/>
  <c r="AT231" i="4"/>
  <c r="AU231" i="4"/>
  <c r="BY224" i="5"/>
  <c r="CA228" i="4"/>
  <c r="CB228" i="4"/>
  <c r="CA226" i="4"/>
  <c r="CB226" i="4"/>
  <c r="AV225" i="4"/>
  <c r="AW225" i="4"/>
  <c r="BY219" i="5"/>
  <c r="CC219" i="5"/>
  <c r="CD219" i="5"/>
  <c r="CA223" i="4"/>
  <c r="CB223" i="4"/>
  <c r="BU218" i="5"/>
  <c r="BV218" i="5"/>
  <c r="BM222" i="4"/>
  <c r="BQ222" i="4"/>
  <c r="BM220" i="4"/>
  <c r="BQ220" i="4"/>
  <c r="CA217" i="4"/>
  <c r="CB217" i="4"/>
  <c r="CA216" i="4"/>
  <c r="CB216" i="4"/>
  <c r="BU208" i="5"/>
  <c r="BV208" i="5"/>
  <c r="BM212" i="4"/>
  <c r="BQ212" i="4"/>
  <c r="BU206" i="5"/>
  <c r="BZ200" i="4"/>
  <c r="AM200" i="4"/>
  <c r="AI200" i="4"/>
  <c r="AB200" i="4"/>
  <c r="AC200" i="4"/>
  <c r="BY195" i="5"/>
  <c r="CA191" i="4"/>
  <c r="CB191" i="4"/>
  <c r="BN178" i="4"/>
  <c r="BW178" i="4"/>
  <c r="BX176" i="5"/>
  <c r="BU172" i="5"/>
  <c r="AR166" i="5"/>
  <c r="AT166" i="5"/>
  <c r="AU166" i="5"/>
  <c r="AS167" i="4"/>
  <c r="BY164" i="5"/>
  <c r="CC164" i="5"/>
  <c r="CD164" i="5"/>
  <c r="CA165" i="4"/>
  <c r="CB165" i="4"/>
  <c r="BY163" i="5"/>
  <c r="CC163" i="5"/>
  <c r="CD163" i="5"/>
  <c r="CA164" i="4"/>
  <c r="CB164" i="4"/>
  <c r="BY162" i="5"/>
  <c r="CC162" i="5"/>
  <c r="CD162" i="5"/>
  <c r="CA163" i="4"/>
  <c r="CB163" i="4"/>
  <c r="BY161" i="5"/>
  <c r="CC161" i="5"/>
  <c r="CD161" i="5"/>
  <c r="CA162" i="4"/>
  <c r="CB162" i="4"/>
  <c r="BY160" i="5"/>
  <c r="CA161" i="4"/>
  <c r="CB161" i="4"/>
  <c r="S159" i="4"/>
  <c r="T159" i="4"/>
  <c r="I158" i="5"/>
  <c r="N158" i="5"/>
  <c r="M158" i="5"/>
  <c r="I176" i="4"/>
  <c r="BU154" i="5"/>
  <c r="BY138" i="5"/>
  <c r="CC138" i="5"/>
  <c r="CD138" i="5"/>
  <c r="CA139" i="4"/>
  <c r="CB139" i="4"/>
  <c r="BR130" i="5"/>
  <c r="BR141" i="5"/>
  <c r="BS141" i="5"/>
  <c r="BL131" i="4"/>
  <c r="BF131" i="4"/>
  <c r="BG131" i="4"/>
  <c r="BP131" i="4"/>
  <c r="BR131" i="4"/>
  <c r="BU127" i="5"/>
  <c r="BM114" i="4"/>
  <c r="BQ114" i="4"/>
  <c r="BY109" i="5"/>
  <c r="CA110" i="4"/>
  <c r="CB110" i="4"/>
  <c r="AR109" i="5"/>
  <c r="AT109" i="5"/>
  <c r="AU109" i="5"/>
  <c r="AS110" i="4"/>
  <c r="AR105" i="5"/>
  <c r="AT105" i="5"/>
  <c r="AU105" i="5"/>
  <c r="AS106" i="4"/>
  <c r="BZ82" i="4"/>
  <c r="AM12" i="2"/>
  <c r="AM6" i="3"/>
  <c r="AJ6" i="3"/>
  <c r="AN6" i="3"/>
  <c r="AO6" i="3"/>
  <c r="AR79" i="5"/>
  <c r="AT79" i="5"/>
  <c r="AU79" i="5"/>
  <c r="AS80" i="4"/>
  <c r="BU75" i="5"/>
  <c r="BV75" i="5"/>
  <c r="BY64" i="5"/>
  <c r="CC64" i="5"/>
  <c r="CD64" i="5"/>
  <c r="CA65" i="4"/>
  <c r="CB65" i="4"/>
  <c r="AI61" i="5"/>
  <c r="AM82" i="4"/>
  <c r="AR26" i="5"/>
  <c r="AT26" i="5"/>
  <c r="AU26" i="5"/>
  <c r="AS26" i="4"/>
  <c r="BX171" i="5"/>
  <c r="BX172" i="5"/>
  <c r="AT154" i="5"/>
  <c r="AU154" i="5"/>
  <c r="AS131" i="4"/>
  <c r="AV131" i="4"/>
  <c r="BX141" i="5"/>
  <c r="BV92" i="5"/>
  <c r="AR14" i="5"/>
  <c r="AT14" i="5"/>
  <c r="AU14" i="5"/>
  <c r="AS14" i="4"/>
  <c r="AT14" i="4"/>
  <c r="AU14" i="4"/>
  <c r="BU9" i="5"/>
  <c r="BV9" i="5"/>
  <c r="AR8" i="5"/>
  <c r="AT8" i="5"/>
  <c r="AU8" i="5"/>
  <c r="AS8" i="4"/>
  <c r="BB227" i="5"/>
  <c r="BC227" i="5"/>
  <c r="BB215" i="5"/>
  <c r="BC215" i="5"/>
  <c r="BB209" i="5"/>
  <c r="BC209" i="5"/>
  <c r="AV222" i="5"/>
  <c r="AW222" i="5"/>
  <c r="BB222" i="5"/>
  <c r="BC222" i="5"/>
  <c r="AV212" i="5"/>
  <c r="BB212" i="5"/>
  <c r="BC212" i="5"/>
  <c r="AV211" i="5"/>
  <c r="AW211" i="5"/>
  <c r="BB211" i="5"/>
  <c r="BC211" i="5"/>
  <c r="S196" i="5"/>
  <c r="T196" i="5"/>
  <c r="BZ191" i="5"/>
  <c r="CA191" i="5"/>
  <c r="BO178" i="4"/>
  <c r="BP178" i="4"/>
  <c r="BR178" i="4"/>
  <c r="AD178" i="4"/>
  <c r="AD176" i="5"/>
  <c r="X176" i="4"/>
  <c r="B176" i="4"/>
  <c r="BX164" i="5"/>
  <c r="BX165" i="5"/>
  <c r="H159" i="4"/>
  <c r="D159" i="4"/>
  <c r="BB142" i="4"/>
  <c r="AJ142" i="4"/>
  <c r="AS137" i="4"/>
  <c r="AS134" i="4"/>
  <c r="BM134" i="4"/>
  <c r="BQ134" i="4"/>
  <c r="AS133" i="4"/>
  <c r="CA132" i="4"/>
  <c r="CB132" i="4"/>
  <c r="AJ141" i="5"/>
  <c r="BN118" i="4"/>
  <c r="BW118" i="4"/>
  <c r="AM117" i="4"/>
  <c r="AS94" i="4"/>
  <c r="BM94" i="4"/>
  <c r="BQ94" i="4"/>
  <c r="AS93" i="4"/>
  <c r="BM93" i="4"/>
  <c r="BQ93" i="4"/>
  <c r="AG82" i="4"/>
  <c r="AH82" i="4"/>
  <c r="AS79" i="4"/>
  <c r="AS78" i="4"/>
  <c r="BM78" i="4"/>
  <c r="BQ78" i="4"/>
  <c r="CA77" i="4"/>
  <c r="CB77" i="4"/>
  <c r="CA76" i="4"/>
  <c r="CB76" i="4"/>
  <c r="AS73" i="4"/>
  <c r="BM73" i="4"/>
  <c r="BQ73" i="4"/>
  <c r="AS71" i="4"/>
  <c r="BM71" i="4"/>
  <c r="BQ71" i="4"/>
  <c r="AS66" i="4"/>
  <c r="CA64" i="4"/>
  <c r="CB64" i="4"/>
  <c r="AS63" i="4"/>
  <c r="CA60" i="4"/>
  <c r="CB60" i="4"/>
  <c r="CA59" i="4"/>
  <c r="CB59" i="4"/>
  <c r="AS59" i="4"/>
  <c r="AV59" i="4"/>
  <c r="BM59" i="4"/>
  <c r="BQ59" i="4"/>
  <c r="CA39" i="4"/>
  <c r="CB39" i="4"/>
  <c r="CA36" i="4"/>
  <c r="CB36" i="4"/>
  <c r="CA26" i="4"/>
  <c r="CB26" i="4"/>
  <c r="CA24" i="4"/>
  <c r="CB24" i="4"/>
  <c r="CA23" i="4"/>
  <c r="CB23" i="4"/>
  <c r="AS23" i="4"/>
  <c r="AS21" i="4"/>
  <c r="BY17" i="5"/>
  <c r="CA17" i="4"/>
  <c r="CB17" i="4"/>
  <c r="BM17" i="4"/>
  <c r="BQ17" i="4"/>
  <c r="BY14" i="5"/>
  <c r="AR12" i="5"/>
  <c r="AT12" i="5"/>
  <c r="AU12" i="5"/>
  <c r="AS12" i="4"/>
  <c r="H251" i="5"/>
  <c r="G251" i="5"/>
  <c r="K251" i="5"/>
  <c r="CC250" i="5"/>
  <c r="BS250" i="5"/>
  <c r="BT250" i="5"/>
  <c r="BZ250" i="5"/>
  <c r="CA250" i="5"/>
  <c r="BB208" i="5"/>
  <c r="BC208" i="5"/>
  <c r="AV230" i="4"/>
  <c r="AW230" i="4"/>
  <c r="AV226" i="4"/>
  <c r="AW226" i="4"/>
  <c r="AV222" i="4"/>
  <c r="AW222" i="4"/>
  <c r="AV219" i="4"/>
  <c r="AW219" i="4"/>
  <c r="AV213" i="5"/>
  <c r="AW213" i="5"/>
  <c r="BB213" i="5"/>
  <c r="BC213" i="5"/>
  <c r="AV216" i="4"/>
  <c r="AW216" i="4"/>
  <c r="AV215" i="4"/>
  <c r="AW215" i="4"/>
  <c r="CA174" i="4"/>
  <c r="CB174" i="4"/>
  <c r="AS172" i="4"/>
  <c r="BM172" i="4"/>
  <c r="BQ172" i="4"/>
  <c r="AS170" i="4"/>
  <c r="CA169" i="4"/>
  <c r="CB169" i="4"/>
  <c r="CA168" i="4"/>
  <c r="CB168" i="4"/>
  <c r="CA167" i="4"/>
  <c r="CB167" i="4"/>
  <c r="CA166" i="4"/>
  <c r="CB166" i="4"/>
  <c r="AS160" i="4"/>
  <c r="AS159" i="4"/>
  <c r="Y159" i="4"/>
  <c r="Z159" i="4"/>
  <c r="D158" i="5"/>
  <c r="E158" i="5"/>
  <c r="AS158" i="4"/>
  <c r="AS157" i="5"/>
  <c r="AV157" i="5"/>
  <c r="AW157" i="5"/>
  <c r="CA157" i="4"/>
  <c r="CB157" i="4"/>
  <c r="AS155" i="4"/>
  <c r="AI174" i="5"/>
  <c r="CA138" i="4"/>
  <c r="CB138" i="4"/>
  <c r="AS135" i="4"/>
  <c r="BM135" i="4"/>
  <c r="BQ135" i="4"/>
  <c r="BC131" i="4"/>
  <c r="BD131" i="4"/>
  <c r="AS130" i="4"/>
  <c r="AS129" i="4"/>
  <c r="BM129" i="4"/>
  <c r="BQ129" i="4"/>
  <c r="AI141" i="5"/>
  <c r="BZ116" i="5"/>
  <c r="CA116" i="5"/>
  <c r="V117" i="4"/>
  <c r="W117" i="4"/>
  <c r="M116" i="5"/>
  <c r="N116" i="5"/>
  <c r="AS116" i="4"/>
  <c r="AS113" i="4"/>
  <c r="BM113" i="4"/>
  <c r="BQ113" i="4"/>
  <c r="CA112" i="4"/>
  <c r="CB112" i="4"/>
  <c r="CA106" i="4"/>
  <c r="CB106" i="4"/>
  <c r="AS103" i="4"/>
  <c r="CA102" i="4"/>
  <c r="CB102" i="4"/>
  <c r="AS100" i="4"/>
  <c r="AV100" i="4"/>
  <c r="AW100" i="4"/>
  <c r="CA99" i="4"/>
  <c r="CB99" i="4"/>
  <c r="AS98" i="4"/>
  <c r="BM98" i="4"/>
  <c r="BQ98" i="4"/>
  <c r="CA97" i="4"/>
  <c r="CB97" i="4"/>
  <c r="CA96" i="4"/>
  <c r="CB96" i="4"/>
  <c r="CA95" i="4"/>
  <c r="CB95" i="4"/>
  <c r="AT92" i="5"/>
  <c r="AU92" i="5"/>
  <c r="CA81" i="4"/>
  <c r="CB81" i="4"/>
  <c r="CA80" i="4"/>
  <c r="CB80" i="4"/>
  <c r="AS75" i="4"/>
  <c r="BM75" i="4"/>
  <c r="BQ75" i="4"/>
  <c r="AS74" i="4"/>
  <c r="CA72" i="4"/>
  <c r="CB72" i="4"/>
  <c r="CA68" i="4"/>
  <c r="CB68" i="4"/>
  <c r="CA67" i="4"/>
  <c r="CB67" i="4"/>
  <c r="AS61" i="4"/>
  <c r="BM61" i="4"/>
  <c r="BQ61" i="4"/>
  <c r="AS60" i="4"/>
  <c r="AT58" i="5"/>
  <c r="AU58" i="5"/>
  <c r="CA44" i="4"/>
  <c r="CB44" i="4"/>
  <c r="CA37" i="4"/>
  <c r="CB37" i="4"/>
  <c r="AS35" i="4"/>
  <c r="BM35" i="4"/>
  <c r="CA34" i="4"/>
  <c r="CB34" i="4"/>
  <c r="CA32" i="4"/>
  <c r="CB32" i="4"/>
  <c r="AS32" i="4"/>
  <c r="AV32" i="4"/>
  <c r="AR18" i="5"/>
  <c r="AT18" i="5"/>
  <c r="AU18" i="5"/>
  <c r="AS18" i="4"/>
  <c r="BY16" i="5"/>
  <c r="CC16" i="5"/>
  <c r="CD16" i="5"/>
  <c r="CA16" i="4"/>
  <c r="CB16" i="4"/>
  <c r="BY13" i="5"/>
  <c r="BU11" i="5"/>
  <c r="BV11" i="5"/>
  <c r="BU10" i="5"/>
  <c r="BV10" i="5"/>
  <c r="AR9" i="5"/>
  <c r="AT9" i="5"/>
  <c r="AU9" i="5"/>
  <c r="BM9" i="4"/>
  <c r="BQ9" i="4"/>
  <c r="N250" i="5"/>
  <c r="M250" i="5"/>
  <c r="N248" i="5"/>
  <c r="M248" i="5"/>
  <c r="N246" i="5"/>
  <c r="M246" i="5"/>
  <c r="K243" i="5"/>
  <c r="G243" i="5"/>
  <c r="BZ242" i="5"/>
  <c r="CA242" i="5"/>
  <c r="BS242" i="5"/>
  <c r="BT242" i="5"/>
  <c r="K242" i="5"/>
  <c r="G242" i="5"/>
  <c r="BZ241" i="5"/>
  <c r="CA241" i="5"/>
  <c r="BS241" i="5"/>
  <c r="BT241" i="5"/>
  <c r="K241" i="5"/>
  <c r="G241" i="5"/>
  <c r="BZ240" i="5"/>
  <c r="CA240" i="5"/>
  <c r="BS240" i="5"/>
  <c r="BT240" i="5"/>
  <c r="K240" i="5"/>
  <c r="G240" i="5"/>
  <c r="BZ239" i="5"/>
  <c r="CA239" i="5"/>
  <c r="BS239" i="5"/>
  <c r="BT239" i="5"/>
  <c r="K239" i="5"/>
  <c r="G239" i="5"/>
  <c r="BZ238" i="5"/>
  <c r="CA238" i="5"/>
  <c r="BS238" i="5"/>
  <c r="BT238" i="5"/>
  <c r="M238" i="5"/>
  <c r="K237" i="5"/>
  <c r="G237" i="5"/>
  <c r="BL231" i="5"/>
  <c r="BM231" i="5"/>
  <c r="BN231" i="5"/>
  <c r="BS229" i="5"/>
  <c r="BT229" i="5"/>
  <c r="BP224" i="5"/>
  <c r="BQ224" i="5"/>
  <c r="AZ223" i="5"/>
  <c r="BA223" i="5"/>
  <c r="BZ221" i="5"/>
  <c r="CA221" i="5"/>
  <c r="BS220" i="5"/>
  <c r="BT220" i="5"/>
  <c r="AB219" i="5"/>
  <c r="AC219" i="5"/>
  <c r="BS218" i="5"/>
  <c r="BT218" i="5"/>
  <c r="BS215" i="5"/>
  <c r="BT215" i="5"/>
  <c r="BZ213" i="5"/>
  <c r="CA213" i="5"/>
  <c r="BZ212" i="5"/>
  <c r="CA212" i="5"/>
  <c r="BZ211" i="5"/>
  <c r="CA211" i="5"/>
  <c r="BZ210" i="5"/>
  <c r="CA210" i="5"/>
  <c r="H209" i="5"/>
  <c r="H208" i="5"/>
  <c r="AB207" i="5"/>
  <c r="AC207" i="5"/>
  <c r="V207" i="5"/>
  <c r="W207" i="5"/>
  <c r="P207" i="5"/>
  <c r="Q207" i="5"/>
  <c r="BM192" i="5"/>
  <c r="BN192" i="5"/>
  <c r="AQ196" i="5"/>
  <c r="BK191" i="5"/>
  <c r="BK189" i="5"/>
  <c r="BK196" i="5"/>
  <c r="AQ174" i="5"/>
  <c r="G172" i="5"/>
  <c r="K172" i="5"/>
  <c r="H172" i="5"/>
  <c r="D165" i="5"/>
  <c r="E165" i="5"/>
  <c r="BS164" i="5"/>
  <c r="BT164" i="5"/>
  <c r="BZ164" i="5"/>
  <c r="CA164" i="5"/>
  <c r="AB164" i="5"/>
  <c r="AC164" i="5"/>
  <c r="AG164" i="5"/>
  <c r="AH164" i="5"/>
  <c r="P160" i="5"/>
  <c r="Q160" i="5"/>
  <c r="S160" i="5"/>
  <c r="T160" i="5"/>
  <c r="AK174" i="5"/>
  <c r="S159" i="5"/>
  <c r="T159" i="5"/>
  <c r="V159" i="5"/>
  <c r="W159" i="5"/>
  <c r="S157" i="5"/>
  <c r="V157" i="5"/>
  <c r="V165" i="5"/>
  <c r="V174" i="5"/>
  <c r="BM156" i="5"/>
  <c r="BN156" i="5"/>
  <c r="H210" i="5"/>
  <c r="K209" i="5"/>
  <c r="K208" i="5"/>
  <c r="Y193" i="5"/>
  <c r="Z193" i="5"/>
  <c r="M192" i="5"/>
  <c r="N192" i="5"/>
  <c r="G189" i="5"/>
  <c r="K189" i="5"/>
  <c r="H189" i="5"/>
  <c r="M187" i="5"/>
  <c r="N187" i="5"/>
  <c r="K168" i="5"/>
  <c r="AB166" i="5"/>
  <c r="AC166" i="5"/>
  <c r="H166" i="5"/>
  <c r="W165" i="5"/>
  <c r="S164" i="5"/>
  <c r="T164" i="5"/>
  <c r="AN174" i="5"/>
  <c r="AG163" i="5"/>
  <c r="AH163" i="5"/>
  <c r="BM163" i="5"/>
  <c r="BN163" i="5"/>
  <c r="M163" i="5"/>
  <c r="N163" i="5"/>
  <c r="D161" i="5"/>
  <c r="E161" i="5"/>
  <c r="BS160" i="5"/>
  <c r="BT160" i="5"/>
  <c r="BZ160" i="5"/>
  <c r="CA160" i="5"/>
  <c r="G160" i="5"/>
  <c r="K160" i="5"/>
  <c r="H160" i="5"/>
  <c r="BK159" i="5"/>
  <c r="S130" i="5"/>
  <c r="T130" i="5"/>
  <c r="M105" i="5"/>
  <c r="N105" i="5"/>
  <c r="P105" i="5"/>
  <c r="Q105" i="5"/>
  <c r="E251" i="5"/>
  <c r="K250" i="5"/>
  <c r="BZ249" i="5"/>
  <c r="CA249" i="5"/>
  <c r="K249" i="5"/>
  <c r="BZ248" i="5"/>
  <c r="CA248" i="5"/>
  <c r="K248" i="5"/>
  <c r="BZ247" i="5"/>
  <c r="CA247" i="5"/>
  <c r="K247" i="5"/>
  <c r="BZ246" i="5"/>
  <c r="CA246" i="5"/>
  <c r="K246" i="5"/>
  <c r="BZ245" i="5"/>
  <c r="CA245" i="5"/>
  <c r="K245" i="5"/>
  <c r="BZ244" i="5"/>
  <c r="CA244" i="5"/>
  <c r="BZ243" i="5"/>
  <c r="CA243" i="5"/>
  <c r="E243" i="5"/>
  <c r="E242" i="5"/>
  <c r="E240" i="5"/>
  <c r="E239" i="5"/>
  <c r="K238" i="5"/>
  <c r="BZ237" i="5"/>
  <c r="CA237" i="5"/>
  <c r="BS207" i="5"/>
  <c r="BT207" i="5"/>
  <c r="J206" i="5"/>
  <c r="J195" i="5"/>
  <c r="N195" i="5"/>
  <c r="K195" i="5"/>
  <c r="AK196" i="5"/>
  <c r="J193" i="5"/>
  <c r="N193" i="5"/>
  <c r="K193" i="5"/>
  <c r="S190" i="5"/>
  <c r="E189" i="5"/>
  <c r="Y188" i="5"/>
  <c r="Z188" i="5"/>
  <c r="N188" i="5"/>
  <c r="J187" i="5"/>
  <c r="J172" i="5"/>
  <c r="BS171" i="5"/>
  <c r="BT171" i="5"/>
  <c r="BZ171" i="5"/>
  <c r="CA171" i="5"/>
  <c r="BZ169" i="5"/>
  <c r="CA169" i="5"/>
  <c r="AB169" i="5"/>
  <c r="AC169" i="5"/>
  <c r="AG169" i="5"/>
  <c r="AH169" i="5"/>
  <c r="BZ168" i="5"/>
  <c r="CA168" i="5"/>
  <c r="J168" i="5"/>
  <c r="AG166" i="5"/>
  <c r="AH166" i="5"/>
  <c r="BM166" i="5"/>
  <c r="BN166" i="5"/>
  <c r="M166" i="5"/>
  <c r="N166" i="5"/>
  <c r="G166" i="5"/>
  <c r="G165" i="5"/>
  <c r="H165" i="5"/>
  <c r="BK164" i="5"/>
  <c r="D164" i="5"/>
  <c r="E164" i="5"/>
  <c r="Y162" i="5"/>
  <c r="Z162" i="5"/>
  <c r="N162" i="5"/>
  <c r="K161" i="5"/>
  <c r="BK160" i="5"/>
  <c r="Y160" i="5"/>
  <c r="Z160" i="5"/>
  <c r="AB160" i="5"/>
  <c r="AC160" i="5"/>
  <c r="K159" i="5"/>
  <c r="J159" i="5"/>
  <c r="M159" i="5"/>
  <c r="BS155" i="5"/>
  <c r="BT155" i="5"/>
  <c r="BZ155" i="5"/>
  <c r="CA155" i="5"/>
  <c r="G155" i="5"/>
  <c r="BP112" i="5"/>
  <c r="BQ112" i="5"/>
  <c r="BS112" i="5"/>
  <c r="BT112" i="5"/>
  <c r="BV7" i="5"/>
  <c r="AZ193" i="5"/>
  <c r="AO196" i="5"/>
  <c r="AB191" i="5"/>
  <c r="AC191" i="5"/>
  <c r="AG191" i="5"/>
  <c r="AH191" i="5"/>
  <c r="AG168" i="5"/>
  <c r="AH168" i="5"/>
  <c r="J162" i="5"/>
  <c r="K162" i="5"/>
  <c r="G161" i="5"/>
  <c r="H161" i="5"/>
  <c r="AZ157" i="5"/>
  <c r="AO174" i="5"/>
  <c r="E155" i="5"/>
  <c r="D155" i="5"/>
  <c r="M103" i="5"/>
  <c r="N103" i="5"/>
  <c r="P103" i="5"/>
  <c r="Q103" i="5"/>
  <c r="BS172" i="5"/>
  <c r="BT172" i="5"/>
  <c r="N164" i="5"/>
  <c r="K163" i="5"/>
  <c r="BS162" i="5"/>
  <c r="BT162" i="5"/>
  <c r="H162" i="5"/>
  <c r="AB158" i="5"/>
  <c r="AC158" i="5"/>
  <c r="BK155" i="5"/>
  <c r="AG155" i="5"/>
  <c r="AH155" i="5"/>
  <c r="BM140" i="5"/>
  <c r="BN140" i="5"/>
  <c r="BV140" i="5"/>
  <c r="AE141" i="5"/>
  <c r="AG110" i="5"/>
  <c r="AH110" i="5"/>
  <c r="BM110" i="5"/>
  <c r="BN110" i="5"/>
  <c r="AP116" i="5"/>
  <c r="AG103" i="5"/>
  <c r="AH103" i="5"/>
  <c r="BM103" i="5"/>
  <c r="BN103" i="5"/>
  <c r="AJ116" i="5"/>
  <c r="E160" i="5"/>
  <c r="BZ157" i="5"/>
  <c r="CA157" i="5"/>
  <c r="M156" i="5"/>
  <c r="H156" i="5"/>
  <c r="G156" i="5"/>
  <c r="BS154" i="5"/>
  <c r="BT154" i="5"/>
  <c r="BS140" i="5"/>
  <c r="BT140" i="5"/>
  <c r="BZ140" i="5"/>
  <c r="CA140" i="5"/>
  <c r="AG137" i="5"/>
  <c r="AH137" i="5"/>
  <c r="BM137" i="5"/>
  <c r="BN137" i="5"/>
  <c r="AB107" i="5"/>
  <c r="AC107" i="5"/>
  <c r="AG107" i="5"/>
  <c r="AH107" i="5"/>
  <c r="BP102" i="5"/>
  <c r="BQ102" i="5"/>
  <c r="BS102" i="5"/>
  <c r="BT102" i="5"/>
  <c r="AG75" i="5"/>
  <c r="AH75" i="5"/>
  <c r="BP75" i="5"/>
  <c r="BQ75" i="5"/>
  <c r="H155" i="5"/>
  <c r="D154" i="5"/>
  <c r="E154" i="5"/>
  <c r="AL141" i="5"/>
  <c r="K131" i="5"/>
  <c r="J131" i="5"/>
  <c r="Y106" i="5"/>
  <c r="Z106" i="5"/>
  <c r="AB106" i="5"/>
  <c r="AC106" i="5"/>
  <c r="BK80" i="5"/>
  <c r="AP81" i="5"/>
  <c r="AB138" i="5"/>
  <c r="AC138" i="5"/>
  <c r="AB134" i="5"/>
  <c r="AC134" i="5"/>
  <c r="AG134" i="5"/>
  <c r="AH134" i="5"/>
  <c r="BK129" i="5"/>
  <c r="AQ141" i="5"/>
  <c r="AB129" i="5"/>
  <c r="AC129" i="5"/>
  <c r="AG129" i="5"/>
  <c r="AH129" i="5"/>
  <c r="AK141" i="5"/>
  <c r="J128" i="5"/>
  <c r="K128" i="5"/>
  <c r="AG111" i="5"/>
  <c r="AH111" i="5"/>
  <c r="V109" i="5"/>
  <c r="AK116" i="5"/>
  <c r="AB108" i="5"/>
  <c r="AC108" i="5"/>
  <c r="AE116" i="5"/>
  <c r="BP106" i="5"/>
  <c r="BQ106" i="5"/>
  <c r="BS92" i="5"/>
  <c r="BT92" i="5"/>
  <c r="BZ92" i="5"/>
  <c r="CA92" i="5"/>
  <c r="P92" i="5"/>
  <c r="Q92" i="5"/>
  <c r="S92" i="5"/>
  <c r="T92" i="5"/>
  <c r="BM76" i="5"/>
  <c r="BN76" i="5"/>
  <c r="BZ139" i="5"/>
  <c r="CA139" i="5"/>
  <c r="BS139" i="5"/>
  <c r="BT139" i="5"/>
  <c r="AB137" i="5"/>
  <c r="K135" i="5"/>
  <c r="Y134" i="5"/>
  <c r="BM128" i="5"/>
  <c r="BN128" i="5"/>
  <c r="AZ128" i="5"/>
  <c r="AO141" i="5"/>
  <c r="S111" i="5"/>
  <c r="T111" i="5"/>
  <c r="BP110" i="5"/>
  <c r="BQ110" i="5"/>
  <c r="BS107" i="5"/>
  <c r="BT107" i="5"/>
  <c r="BZ107" i="5"/>
  <c r="CA107" i="5"/>
  <c r="AG106" i="5"/>
  <c r="AH106" i="5"/>
  <c r="BM106" i="5"/>
  <c r="BN106" i="5"/>
  <c r="M106" i="5"/>
  <c r="N106" i="5"/>
  <c r="G104" i="5"/>
  <c r="BP103" i="5"/>
  <c r="BQ103" i="5"/>
  <c r="AQ116" i="5"/>
  <c r="AI116" i="5"/>
  <c r="S97" i="5"/>
  <c r="T97" i="5"/>
  <c r="V97" i="5"/>
  <c r="BP95" i="5"/>
  <c r="BQ95" i="5"/>
  <c r="BS95" i="5"/>
  <c r="BT95" i="5"/>
  <c r="AZ94" i="5"/>
  <c r="AO116" i="5"/>
  <c r="AG76" i="5"/>
  <c r="AH76" i="5"/>
  <c r="BP76" i="5"/>
  <c r="BQ76" i="5"/>
  <c r="P70" i="5"/>
  <c r="Q70" i="5"/>
  <c r="S70" i="5"/>
  <c r="T70" i="5"/>
  <c r="P68" i="5"/>
  <c r="Q68" i="5"/>
  <c r="S68" i="5"/>
  <c r="T68" i="5"/>
  <c r="BZ138" i="5"/>
  <c r="CA138" i="5"/>
  <c r="BS138" i="5"/>
  <c r="BT138" i="5"/>
  <c r="AG138" i="5"/>
  <c r="AH138" i="5"/>
  <c r="BP137" i="5"/>
  <c r="BQ137" i="5"/>
  <c r="J135" i="5"/>
  <c r="BS134" i="5"/>
  <c r="BT134" i="5"/>
  <c r="BZ134" i="5"/>
  <c r="CA134" i="5"/>
  <c r="S134" i="5"/>
  <c r="AG133" i="5"/>
  <c r="AH133" i="5"/>
  <c r="M133" i="5"/>
  <c r="N133" i="5"/>
  <c r="J132" i="5"/>
  <c r="N132" i="5"/>
  <c r="K132" i="5"/>
  <c r="AB130" i="5"/>
  <c r="AC130" i="5"/>
  <c r="AG130" i="5"/>
  <c r="AH130" i="5"/>
  <c r="BS129" i="5"/>
  <c r="BT129" i="5"/>
  <c r="BZ129" i="5"/>
  <c r="CA129" i="5"/>
  <c r="Y128" i="5"/>
  <c r="Z128" i="5"/>
  <c r="N128" i="5"/>
  <c r="BS115" i="5"/>
  <c r="BT115" i="5"/>
  <c r="BZ115" i="5"/>
  <c r="CA115" i="5"/>
  <c r="AB111" i="5"/>
  <c r="AC111" i="5"/>
  <c r="BS110" i="5"/>
  <c r="BT110" i="5"/>
  <c r="S107" i="5"/>
  <c r="T107" i="5"/>
  <c r="P106" i="5"/>
  <c r="Q106" i="5"/>
  <c r="AG102" i="5"/>
  <c r="AH102" i="5"/>
  <c r="BM102" i="5"/>
  <c r="BN102" i="5"/>
  <c r="AN116" i="5"/>
  <c r="BM94" i="5"/>
  <c r="BN94" i="5"/>
  <c r="BM65" i="5"/>
  <c r="BN65" i="5"/>
  <c r="BS132" i="5"/>
  <c r="BT132" i="5"/>
  <c r="BS128" i="5"/>
  <c r="BT128" i="5"/>
  <c r="BS109" i="5"/>
  <c r="BT109" i="5"/>
  <c r="K103" i="5"/>
  <c r="D102" i="5"/>
  <c r="E101" i="5"/>
  <c r="P100" i="5"/>
  <c r="Q100" i="5"/>
  <c r="D96" i="5"/>
  <c r="H96" i="5"/>
  <c r="E96" i="5"/>
  <c r="AG95" i="5"/>
  <c r="AH95" i="5"/>
  <c r="M95" i="5"/>
  <c r="N95" i="5"/>
  <c r="J94" i="5"/>
  <c r="N94" i="5"/>
  <c r="K94" i="5"/>
  <c r="AB92" i="5"/>
  <c r="AC92" i="5"/>
  <c r="AG92" i="5"/>
  <c r="AH92" i="5"/>
  <c r="AB78" i="5"/>
  <c r="AC78" i="5"/>
  <c r="BM75" i="5"/>
  <c r="BN75" i="5"/>
  <c r="M74" i="5"/>
  <c r="M99" i="5"/>
  <c r="N99" i="5"/>
  <c r="J98" i="5"/>
  <c r="N98" i="5"/>
  <c r="K98" i="5"/>
  <c r="BS96" i="5"/>
  <c r="BT96" i="5"/>
  <c r="BZ96" i="5"/>
  <c r="CA96" i="5"/>
  <c r="J74" i="5"/>
  <c r="K74" i="5"/>
  <c r="BK68" i="5"/>
  <c r="AQ81" i="5"/>
  <c r="V66" i="5"/>
  <c r="Y66" i="5"/>
  <c r="AK81" i="5"/>
  <c r="AB65" i="5"/>
  <c r="AC65" i="5"/>
  <c r="AG65" i="5"/>
  <c r="AH65" i="5"/>
  <c r="P65" i="5"/>
  <c r="Q65" i="5"/>
  <c r="S65" i="5"/>
  <c r="T65" i="5"/>
  <c r="D65" i="5"/>
  <c r="E65" i="5"/>
  <c r="H102" i="5"/>
  <c r="BM101" i="5"/>
  <c r="BN101" i="5"/>
  <c r="BM100" i="5"/>
  <c r="BN100" i="5"/>
  <c r="M100" i="5"/>
  <c r="N100" i="5"/>
  <c r="AB96" i="5"/>
  <c r="AC96" i="5"/>
  <c r="AG96" i="5"/>
  <c r="AH96" i="5"/>
  <c r="G96" i="5"/>
  <c r="P95" i="5"/>
  <c r="Q95" i="5"/>
  <c r="M94" i="5"/>
  <c r="BS80" i="5"/>
  <c r="BT80" i="5"/>
  <c r="BZ80" i="5"/>
  <c r="CA80" i="5"/>
  <c r="AO81" i="5"/>
  <c r="Y67" i="5"/>
  <c r="Z67" i="5"/>
  <c r="AB67" i="5"/>
  <c r="AC67" i="5"/>
  <c r="BS99" i="5"/>
  <c r="BT99" i="5"/>
  <c r="BS98" i="5"/>
  <c r="BT98" i="5"/>
  <c r="BS94" i="5"/>
  <c r="BT94" i="5"/>
  <c r="E76" i="5"/>
  <c r="BP72" i="5"/>
  <c r="BQ72" i="5"/>
  <c r="AG71" i="5"/>
  <c r="AH71" i="5"/>
  <c r="BP71" i="5"/>
  <c r="BQ71" i="5"/>
  <c r="AG69" i="5"/>
  <c r="AH69" i="5"/>
  <c r="BP69" i="5"/>
  <c r="BQ69" i="5"/>
  <c r="BS67" i="5"/>
  <c r="BT67" i="5"/>
  <c r="M67" i="5"/>
  <c r="N67" i="5"/>
  <c r="BP66" i="5"/>
  <c r="BQ66" i="5"/>
  <c r="M66" i="5"/>
  <c r="N66" i="5"/>
  <c r="BP61" i="5"/>
  <c r="BQ61" i="5"/>
  <c r="BS61" i="5"/>
  <c r="BT61" i="5"/>
  <c r="BK28" i="5"/>
  <c r="M76" i="5"/>
  <c r="H76" i="5"/>
  <c r="K75" i="5"/>
  <c r="N73" i="5"/>
  <c r="V65" i="5"/>
  <c r="W65" i="5"/>
  <c r="Y65" i="5"/>
  <c r="Z65" i="5"/>
  <c r="BP63" i="5"/>
  <c r="BQ63" i="5"/>
  <c r="BS63" i="5"/>
  <c r="BT63" i="5"/>
  <c r="BP32" i="5"/>
  <c r="BQ32" i="5"/>
  <c r="BS32" i="5"/>
  <c r="BT32" i="5"/>
  <c r="N74" i="5"/>
  <c r="J73" i="5"/>
  <c r="K73" i="5"/>
  <c r="M71" i="5"/>
  <c r="N71" i="5"/>
  <c r="AB70" i="5"/>
  <c r="AC70" i="5"/>
  <c r="AG70" i="5"/>
  <c r="AH70" i="5"/>
  <c r="AB68" i="5"/>
  <c r="AC68" i="5"/>
  <c r="AG68" i="5"/>
  <c r="AH68" i="5"/>
  <c r="AG67" i="5"/>
  <c r="AH67" i="5"/>
  <c r="J61" i="5"/>
  <c r="N61" i="5"/>
  <c r="Y59" i="5"/>
  <c r="Z59" i="5"/>
  <c r="AB59" i="5"/>
  <c r="AC59" i="5"/>
  <c r="BS65" i="5"/>
  <c r="BT65" i="5"/>
  <c r="M64" i="5"/>
  <c r="D62" i="5"/>
  <c r="E62" i="5"/>
  <c r="G61" i="5"/>
  <c r="AG60" i="5"/>
  <c r="AH60" i="5"/>
  <c r="BM60" i="5"/>
  <c r="BN60" i="5"/>
  <c r="M60" i="5"/>
  <c r="N60" i="5"/>
  <c r="M58" i="5"/>
  <c r="N58" i="5"/>
  <c r="CC37" i="5"/>
  <c r="CD37" i="5"/>
  <c r="BM36" i="5"/>
  <c r="BN36" i="5"/>
  <c r="BK35" i="5"/>
  <c r="AQ48" i="5"/>
  <c r="AB35" i="5"/>
  <c r="AC35" i="5"/>
  <c r="AG35" i="5"/>
  <c r="AH35" i="5"/>
  <c r="D34" i="5"/>
  <c r="E34" i="5"/>
  <c r="G34" i="5"/>
  <c r="G30" i="5"/>
  <c r="K30" i="5"/>
  <c r="H30" i="5"/>
  <c r="J30" i="5"/>
  <c r="BS64" i="5"/>
  <c r="BT64" i="5"/>
  <c r="BS62" i="5"/>
  <c r="BT62" i="5"/>
  <c r="BZ62" i="5"/>
  <c r="CA62" i="5"/>
  <c r="AB62" i="5"/>
  <c r="AC62" i="5"/>
  <c r="AG62" i="5"/>
  <c r="AH62" i="5"/>
  <c r="G62" i="5"/>
  <c r="M61" i="5"/>
  <c r="BS60" i="5"/>
  <c r="BT60" i="5"/>
  <c r="P60" i="5"/>
  <c r="Q60" i="5"/>
  <c r="M59" i="5"/>
  <c r="N59" i="5"/>
  <c r="BP58" i="5"/>
  <c r="BQ58" i="5"/>
  <c r="P58" i="5"/>
  <c r="Q58" i="5"/>
  <c r="BS38" i="5"/>
  <c r="BT38" i="5"/>
  <c r="S35" i="5"/>
  <c r="T35" i="5"/>
  <c r="P34" i="5"/>
  <c r="Q34" i="5"/>
  <c r="S34" i="5"/>
  <c r="T34" i="5"/>
  <c r="N62" i="5"/>
  <c r="K58" i="5"/>
  <c r="BS44" i="5"/>
  <c r="BT44" i="5"/>
  <c r="BS36" i="5"/>
  <c r="BT36" i="5"/>
  <c r="AG34" i="5"/>
  <c r="AH34" i="5"/>
  <c r="P31" i="5"/>
  <c r="Q31" i="5"/>
  <c r="S31" i="5"/>
  <c r="T31" i="5"/>
  <c r="Y30" i="5"/>
  <c r="Z30" i="5"/>
  <c r="AB30" i="5"/>
  <c r="AC30" i="5"/>
  <c r="Y25" i="5"/>
  <c r="Z25" i="5"/>
  <c r="AB25" i="5"/>
  <c r="AC25" i="5"/>
  <c r="V24" i="5"/>
  <c r="W24" i="5"/>
  <c r="Y24" i="5"/>
  <c r="Z24" i="5"/>
  <c r="D14" i="5"/>
  <c r="H14" i="5"/>
  <c r="E14" i="5"/>
  <c r="G14" i="5"/>
  <c r="BS30" i="5"/>
  <c r="BT30" i="5"/>
  <c r="BZ30" i="5"/>
  <c r="CA30" i="5"/>
  <c r="H34" i="5"/>
  <c r="H31" i="5"/>
  <c r="G31" i="5"/>
  <c r="J31" i="5"/>
  <c r="P30" i="5"/>
  <c r="Q30" i="5"/>
  <c r="S30" i="5"/>
  <c r="T30" i="5"/>
  <c r="BZ29" i="5"/>
  <c r="CA29" i="5"/>
  <c r="BS29" i="5"/>
  <c r="BT29" i="5"/>
  <c r="N27" i="5"/>
  <c r="M27" i="5"/>
  <c r="BP20" i="5"/>
  <c r="BQ20" i="5"/>
  <c r="BS20" i="5"/>
  <c r="BT20" i="5"/>
  <c r="D17" i="5"/>
  <c r="E17" i="5"/>
  <c r="G26" i="5"/>
  <c r="K26" i="5"/>
  <c r="H26" i="5"/>
  <c r="BZ22" i="5"/>
  <c r="CA22" i="5"/>
  <c r="BS22" i="5"/>
  <c r="BT22" i="5"/>
  <c r="N14" i="5"/>
  <c r="M14" i="5"/>
  <c r="D31" i="5"/>
  <c r="E30" i="5"/>
  <c r="H29" i="5"/>
  <c r="H28" i="5"/>
  <c r="BK27" i="5"/>
  <c r="E26" i="5"/>
  <c r="J24" i="5"/>
  <c r="N24" i="5"/>
  <c r="K24" i="5"/>
  <c r="AG20" i="5"/>
  <c r="AH20" i="5"/>
  <c r="BM20" i="5"/>
  <c r="BN20" i="5"/>
  <c r="BP18" i="5"/>
  <c r="BQ18" i="5"/>
  <c r="BS18" i="5"/>
  <c r="BT18" i="5"/>
  <c r="N29" i="5"/>
  <c r="J26" i="5"/>
  <c r="G23" i="5"/>
  <c r="K23" i="5"/>
  <c r="H23" i="5"/>
  <c r="BS21" i="5"/>
  <c r="BT21" i="5"/>
  <c r="BZ21" i="5"/>
  <c r="CA21" i="5"/>
  <c r="P13" i="5"/>
  <c r="Q13" i="5"/>
  <c r="E13" i="5"/>
  <c r="D13" i="5"/>
  <c r="D26" i="5"/>
  <c r="N21" i="5"/>
  <c r="M15" i="5"/>
  <c r="N15" i="5"/>
  <c r="E15" i="5"/>
  <c r="D15" i="5"/>
  <c r="Y14" i="5"/>
  <c r="Z14" i="5"/>
  <c r="Y21" i="5"/>
  <c r="Z21" i="5"/>
  <c r="P14" i="5"/>
  <c r="Q14" i="5"/>
  <c r="Y13" i="5"/>
  <c r="Z13" i="5"/>
  <c r="M10" i="5"/>
  <c r="N10" i="5"/>
  <c r="P10" i="5"/>
  <c r="Q10" i="5"/>
  <c r="BK21" i="5"/>
  <c r="AG21" i="5"/>
  <c r="AH21" i="5"/>
  <c r="D19" i="5"/>
  <c r="E19" i="5"/>
  <c r="AG18" i="5"/>
  <c r="AH18" i="5"/>
  <c r="BM18" i="5"/>
  <c r="BN18" i="5"/>
  <c r="BS16" i="5"/>
  <c r="BT16" i="5"/>
  <c r="Y15" i="5"/>
  <c r="Z15" i="5"/>
  <c r="AB14" i="5"/>
  <c r="AC14" i="5"/>
  <c r="P7" i="5"/>
  <c r="Q7" i="5"/>
  <c r="BZ17" i="5"/>
  <c r="CA17" i="5"/>
  <c r="BK12" i="5"/>
  <c r="BK11" i="5"/>
  <c r="AB11" i="5"/>
  <c r="AC11" i="5"/>
  <c r="BS10" i="5"/>
  <c r="BT10" i="5"/>
  <c r="AB7" i="5"/>
  <c r="AC7" i="5"/>
  <c r="N19" i="5"/>
  <c r="BZ14" i="5"/>
  <c r="CA14" i="5"/>
  <c r="K14" i="5"/>
  <c r="BZ12" i="5"/>
  <c r="CA12" i="5"/>
  <c r="AB12" i="5"/>
  <c r="AC12" i="5"/>
  <c r="D7" i="5"/>
  <c r="E7" i="5"/>
  <c r="G65" i="5"/>
  <c r="AV164" i="4"/>
  <c r="AW164" i="4"/>
  <c r="H68" i="5"/>
  <c r="BV37" i="5"/>
  <c r="N25" i="5"/>
  <c r="J25" i="5"/>
  <c r="AT72" i="4"/>
  <c r="AU72" i="4"/>
  <c r="N63" i="5"/>
  <c r="K48" i="4"/>
  <c r="E68" i="5"/>
  <c r="D68" i="5"/>
  <c r="AV191" i="4"/>
  <c r="AW191" i="4"/>
  <c r="V16" i="2"/>
  <c r="W16" i="2"/>
  <c r="Y63" i="5"/>
  <c r="Z63" i="5"/>
  <c r="D48" i="4"/>
  <c r="C11" i="2"/>
  <c r="V58" i="5"/>
  <c r="W58" i="5"/>
  <c r="BM193" i="4"/>
  <c r="BQ193" i="4"/>
  <c r="V10" i="3"/>
  <c r="W10" i="3"/>
  <c r="S16" i="2"/>
  <c r="T16" i="2"/>
  <c r="H135" i="5"/>
  <c r="AV194" i="4"/>
  <c r="AW194" i="4"/>
  <c r="E48" i="4"/>
  <c r="AS96" i="5"/>
  <c r="AV96" i="5"/>
  <c r="BA96" i="5"/>
  <c r="P16" i="2"/>
  <c r="Q16" i="2"/>
  <c r="S10" i="3"/>
  <c r="T10" i="3"/>
  <c r="H131" i="5"/>
  <c r="BM20" i="4"/>
  <c r="BQ20" i="4"/>
  <c r="BM194" i="4"/>
  <c r="BQ194" i="4"/>
  <c r="V142" i="4"/>
  <c r="W142" i="4"/>
  <c r="AS189" i="5"/>
  <c r="BB189" i="5"/>
  <c r="AT194" i="4"/>
  <c r="AU194" i="4"/>
  <c r="BO255" i="4"/>
  <c r="BP10" i="5"/>
  <c r="BQ10" i="5"/>
  <c r="AS82" i="4"/>
  <c r="AS200" i="4"/>
  <c r="AV200" i="4"/>
  <c r="AW200" i="4"/>
  <c r="K117" i="4"/>
  <c r="P82" i="4"/>
  <c r="Q82" i="4"/>
  <c r="AT27" i="4"/>
  <c r="AU27" i="4"/>
  <c r="AT39" i="4"/>
  <c r="AU39" i="4"/>
  <c r="AW104" i="5"/>
  <c r="F116" i="5"/>
  <c r="J116" i="5"/>
  <c r="AV27" i="4"/>
  <c r="AW27" i="4"/>
  <c r="U15" i="2"/>
  <c r="U9" i="3"/>
  <c r="BV95" i="5"/>
  <c r="P142" i="4"/>
  <c r="Q142" i="4"/>
  <c r="AJ176" i="4"/>
  <c r="H117" i="4"/>
  <c r="J117" i="4"/>
  <c r="R7" i="3"/>
  <c r="S7" i="3"/>
  <c r="T7" i="3"/>
  <c r="BV63" i="5"/>
  <c r="B13" i="2"/>
  <c r="B7" i="3"/>
  <c r="F141" i="5"/>
  <c r="G141" i="5"/>
  <c r="BM27" i="4"/>
  <c r="BQ27" i="4"/>
  <c r="F11" i="2"/>
  <c r="K93" i="5"/>
  <c r="AV68" i="4"/>
  <c r="AW68" i="4"/>
  <c r="P10" i="3"/>
  <c r="Q10" i="3"/>
  <c r="BF82" i="4"/>
  <c r="BG82" i="4"/>
  <c r="K21" i="5"/>
  <c r="H17" i="5"/>
  <c r="BS231" i="5"/>
  <c r="BT231" i="5"/>
  <c r="D131" i="5"/>
  <c r="BB107" i="5"/>
  <c r="BC107" i="5"/>
  <c r="CC194" i="5"/>
  <c r="CD194" i="5"/>
  <c r="AV28" i="5"/>
  <c r="BW251" i="5"/>
  <c r="CC251" i="5"/>
  <c r="D135" i="5"/>
  <c r="AH11" i="5"/>
  <c r="CC63" i="5"/>
  <c r="CD63" i="5"/>
  <c r="BM16" i="5"/>
  <c r="BN16" i="5"/>
  <c r="AS61" i="5"/>
  <c r="AS80" i="5"/>
  <c r="BB80" i="5"/>
  <c r="BC80" i="5"/>
  <c r="AV80" i="5"/>
  <c r="AW80" i="5"/>
  <c r="E133" i="5"/>
  <c r="CD255" i="4"/>
  <c r="G93" i="5"/>
  <c r="BB100" i="5"/>
  <c r="BC100" i="5"/>
  <c r="BB210" i="5"/>
  <c r="BC210" i="5"/>
  <c r="F196" i="5"/>
  <c r="J196" i="5"/>
  <c r="AY48" i="4"/>
  <c r="AZ48" i="4"/>
  <c r="BF48" i="4"/>
  <c r="BG48" i="4"/>
  <c r="D93" i="5"/>
  <c r="AT163" i="4"/>
  <c r="AU163" i="4"/>
  <c r="H48" i="5"/>
  <c r="V8" i="5"/>
  <c r="W8" i="5"/>
  <c r="N75" i="5"/>
  <c r="AV29" i="5"/>
  <c r="BA29" i="5"/>
  <c r="G48" i="5"/>
  <c r="BM19" i="4"/>
  <c r="BQ19" i="4"/>
  <c r="AT81" i="4"/>
  <c r="AU81" i="4"/>
  <c r="AT105" i="4"/>
  <c r="AU105" i="4"/>
  <c r="AT97" i="4"/>
  <c r="AU97" i="4"/>
  <c r="BM104" i="4"/>
  <c r="BQ104" i="4"/>
  <c r="H128" i="5"/>
  <c r="M130" i="5"/>
  <c r="S17" i="2"/>
  <c r="T17" i="2"/>
  <c r="S12" i="2"/>
  <c r="T12" i="2"/>
  <c r="AT19" i="4"/>
  <c r="AU19" i="4"/>
  <c r="AV29" i="4"/>
  <c r="AW29" i="4"/>
  <c r="F7" i="3"/>
  <c r="J7" i="3"/>
  <c r="K7" i="3"/>
  <c r="P130" i="5"/>
  <c r="Q130" i="5"/>
  <c r="BM105" i="4"/>
  <c r="BQ105" i="4"/>
  <c r="AV81" i="4"/>
  <c r="AW81" i="4"/>
  <c r="AV97" i="4"/>
  <c r="AW97" i="4"/>
  <c r="BV171" i="5"/>
  <c r="AV235" i="4"/>
  <c r="AW235" i="4"/>
  <c r="K17" i="5"/>
  <c r="BM15" i="4"/>
  <c r="BQ15" i="4"/>
  <c r="E128" i="5"/>
  <c r="H21" i="5"/>
  <c r="BE81" i="5"/>
  <c r="AM15" i="2"/>
  <c r="AN15" i="2"/>
  <c r="AO15" i="2"/>
  <c r="CG117" i="4"/>
  <c r="CH117" i="4"/>
  <c r="AM13" i="2"/>
  <c r="AM7" i="3"/>
  <c r="AN7" i="3"/>
  <c r="AO7" i="3"/>
  <c r="K65" i="5"/>
  <c r="AP12" i="2"/>
  <c r="CB81" i="5"/>
  <c r="CB82" i="5"/>
  <c r="CF82" i="5"/>
  <c r="CG82" i="5"/>
  <c r="AP17" i="2"/>
  <c r="CB231" i="5"/>
  <c r="CF231" i="5"/>
  <c r="CG231" i="5"/>
  <c r="L174" i="5"/>
  <c r="O174" i="5"/>
  <c r="P174" i="5"/>
  <c r="Q174" i="5"/>
  <c r="L15" i="2"/>
  <c r="L9" i="3"/>
  <c r="H93" i="5"/>
  <c r="CB174" i="5"/>
  <c r="CF174" i="5"/>
  <c r="CG174" i="5"/>
  <c r="AP15" i="2"/>
  <c r="CB48" i="5"/>
  <c r="CF48" i="5"/>
  <c r="CG48" i="5"/>
  <c r="AM16" i="2"/>
  <c r="S176" i="4"/>
  <c r="T176" i="4"/>
  <c r="AW67" i="5"/>
  <c r="BR81" i="5"/>
  <c r="AT102" i="4"/>
  <c r="AU102" i="4"/>
  <c r="AA116" i="5"/>
  <c r="AB116" i="5"/>
  <c r="AC116" i="5"/>
  <c r="AA13" i="2"/>
  <c r="AA7" i="3"/>
  <c r="CF160" i="5"/>
  <c r="CG160" i="5"/>
  <c r="CM160" i="4"/>
  <c r="CG160" i="4"/>
  <c r="CH160" i="4"/>
  <c r="CG82" i="4"/>
  <c r="CH82" i="4"/>
  <c r="CM82" i="4"/>
  <c r="CG235" i="4"/>
  <c r="CH235" i="4"/>
  <c r="CM235" i="4"/>
  <c r="J27" i="5"/>
  <c r="N65" i="5"/>
  <c r="E131" i="5"/>
  <c r="G135" i="5"/>
  <c r="H154" i="5"/>
  <c r="P48" i="4"/>
  <c r="Q48" i="4"/>
  <c r="AV108" i="4"/>
  <c r="AW108" i="4"/>
  <c r="G48" i="4"/>
  <c r="AT68" i="4"/>
  <c r="AU68" i="4"/>
  <c r="AT95" i="4"/>
  <c r="AU95" i="4"/>
  <c r="BW117" i="4"/>
  <c r="AS101" i="5"/>
  <c r="AV101" i="5"/>
  <c r="BA101" i="5"/>
  <c r="AB117" i="4"/>
  <c r="AC117" i="4"/>
  <c r="AV157" i="4"/>
  <c r="AW157" i="4"/>
  <c r="CA117" i="4"/>
  <c r="CB117" i="4"/>
  <c r="K142" i="4"/>
  <c r="G128" i="5"/>
  <c r="H48" i="4"/>
  <c r="AS187" i="5"/>
  <c r="AV187" i="5"/>
  <c r="BA187" i="5"/>
  <c r="X12" i="2"/>
  <c r="L12" i="2"/>
  <c r="L6" i="3"/>
  <c r="BL48" i="5"/>
  <c r="BM48" i="5"/>
  <c r="BN48" i="5"/>
  <c r="CM48" i="4"/>
  <c r="K27" i="5"/>
  <c r="AS39" i="5"/>
  <c r="AV39" i="5"/>
  <c r="AW39" i="5"/>
  <c r="BM108" i="4"/>
  <c r="BQ108" i="4"/>
  <c r="AT101" i="4"/>
  <c r="AU101" i="4"/>
  <c r="AT108" i="4"/>
  <c r="AU108" i="4"/>
  <c r="G27" i="5"/>
  <c r="N13" i="5"/>
  <c r="AV15" i="4"/>
  <c r="AW15" i="4"/>
  <c r="J48" i="4"/>
  <c r="BM101" i="4"/>
  <c r="BQ101" i="4"/>
  <c r="CA25" i="4"/>
  <c r="CB25" i="4"/>
  <c r="AT69" i="4"/>
  <c r="AU69" i="4"/>
  <c r="BM102" i="4"/>
  <c r="BQ102" i="4"/>
  <c r="AT210" i="4"/>
  <c r="AU210" i="4"/>
  <c r="AD255" i="4"/>
  <c r="AD253" i="5"/>
  <c r="BV59" i="5"/>
  <c r="R81" i="5"/>
  <c r="S81" i="5"/>
  <c r="T81" i="5"/>
  <c r="BM191" i="4"/>
  <c r="BQ191" i="4"/>
  <c r="BZ48" i="4"/>
  <c r="O255" i="4"/>
  <c r="O18" i="2"/>
  <c r="AS167" i="5"/>
  <c r="AV167" i="5"/>
  <c r="BA167" i="5"/>
  <c r="P75" i="5"/>
  <c r="Q75" i="5"/>
  <c r="AT7" i="4"/>
  <c r="AU7" i="4"/>
  <c r="AT15" i="4"/>
  <c r="AU15" i="4"/>
  <c r="AV101" i="4"/>
  <c r="AW101" i="4"/>
  <c r="G25" i="5"/>
  <c r="AA255" i="4"/>
  <c r="AA18" i="2"/>
  <c r="AD144" i="4"/>
  <c r="AD143" i="5"/>
  <c r="BZ142" i="4"/>
  <c r="BY141" i="5"/>
  <c r="CC141" i="5"/>
  <c r="CD141" i="5"/>
  <c r="CG131" i="4"/>
  <c r="CH131" i="4"/>
  <c r="CG176" i="4"/>
  <c r="CH176" i="4"/>
  <c r="CM176" i="4"/>
  <c r="CM25" i="4"/>
  <c r="CG25" i="4"/>
  <c r="CH25" i="4"/>
  <c r="N17" i="5"/>
  <c r="BA209" i="5"/>
  <c r="BA227" i="5"/>
  <c r="P81" i="5"/>
  <c r="Q81" i="5"/>
  <c r="T48" i="5"/>
  <c r="BV24" i="5"/>
  <c r="G200" i="4"/>
  <c r="G58" i="5"/>
  <c r="H82" i="4"/>
  <c r="E58" i="5"/>
  <c r="D63" i="5"/>
  <c r="V13" i="2"/>
  <c r="W13" i="2"/>
  <c r="E21" i="5"/>
  <c r="M13" i="5"/>
  <c r="G117" i="4"/>
  <c r="G142" i="4"/>
  <c r="E23" i="5"/>
  <c r="J17" i="5"/>
  <c r="C81" i="5"/>
  <c r="C14" i="2"/>
  <c r="C8" i="3"/>
  <c r="B14" i="2"/>
  <c r="B8" i="3"/>
  <c r="D8" i="3"/>
  <c r="E8" i="3"/>
  <c r="G8" i="3"/>
  <c r="H8" i="3"/>
  <c r="AG10" i="5"/>
  <c r="AH10" i="5"/>
  <c r="BM133" i="5"/>
  <c r="BN133" i="5"/>
  <c r="BP196" i="5"/>
  <c r="BQ196" i="5"/>
  <c r="CD18" i="5"/>
  <c r="CC78" i="5"/>
  <c r="CD78" i="5"/>
  <c r="H142" i="4"/>
  <c r="H58" i="5"/>
  <c r="G63" i="5"/>
  <c r="J35" i="5"/>
  <c r="J63" i="5"/>
  <c r="BP25" i="5"/>
  <c r="BQ25" i="5"/>
  <c r="J133" i="5"/>
  <c r="H63" i="5"/>
  <c r="E92" i="5"/>
  <c r="D24" i="5"/>
  <c r="V18" i="5"/>
  <c r="W18" i="5"/>
  <c r="K92" i="5"/>
  <c r="P11" i="2"/>
  <c r="Q11" i="2"/>
  <c r="J154" i="5"/>
  <c r="K133" i="5"/>
  <c r="G92" i="5"/>
  <c r="BP48" i="5"/>
  <c r="BQ48" i="5"/>
  <c r="B141" i="5"/>
  <c r="E141" i="5"/>
  <c r="S7" i="5"/>
  <c r="T7" i="5"/>
  <c r="AG16" i="5"/>
  <c r="AH16" i="5"/>
  <c r="J65" i="5"/>
  <c r="G35" i="5"/>
  <c r="BL116" i="5"/>
  <c r="BQ31" i="4"/>
  <c r="AV50" i="5"/>
  <c r="AW50" i="5"/>
  <c r="AB82" i="4"/>
  <c r="AC82" i="4"/>
  <c r="D142" i="4"/>
  <c r="AV163" i="4"/>
  <c r="AW163" i="4"/>
  <c r="BL176" i="4"/>
  <c r="BM79" i="4"/>
  <c r="BQ79" i="4"/>
  <c r="Y82" i="4"/>
  <c r="Z82" i="4"/>
  <c r="E117" i="4"/>
  <c r="AV69" i="4"/>
  <c r="AW69" i="4"/>
  <c r="J200" i="4"/>
  <c r="BM132" i="4"/>
  <c r="BQ132" i="4"/>
  <c r="D200" i="4"/>
  <c r="AY142" i="4"/>
  <c r="AZ142" i="4"/>
  <c r="AS156" i="5"/>
  <c r="AZ82" i="4"/>
  <c r="AT132" i="4"/>
  <c r="AU132" i="4"/>
  <c r="BY231" i="5"/>
  <c r="CC231" i="5"/>
  <c r="CD231" i="5"/>
  <c r="N35" i="5"/>
  <c r="BS225" i="5"/>
  <c r="BT225" i="5"/>
  <c r="K154" i="5"/>
  <c r="BM163" i="4"/>
  <c r="BQ163" i="4"/>
  <c r="J92" i="5"/>
  <c r="H133" i="5"/>
  <c r="AT131" i="5"/>
  <c r="AU131" i="5"/>
  <c r="C16" i="2"/>
  <c r="C10" i="3"/>
  <c r="G10" i="3"/>
  <c r="H10" i="3"/>
  <c r="BV136" i="5"/>
  <c r="U81" i="5"/>
  <c r="Y81" i="5"/>
  <c r="Z81" i="5"/>
  <c r="U12" i="2"/>
  <c r="U6" i="3"/>
  <c r="R6" i="3"/>
  <c r="V6" i="3"/>
  <c r="W6" i="3"/>
  <c r="H13" i="5"/>
  <c r="M65" i="5"/>
  <c r="AV7" i="4"/>
  <c r="AW7" i="4"/>
  <c r="BB207" i="5"/>
  <c r="BC207" i="5"/>
  <c r="AV20" i="4"/>
  <c r="AW20" i="4"/>
  <c r="AS68" i="5"/>
  <c r="AV68" i="5"/>
  <c r="BA68" i="5"/>
  <c r="I16" i="2"/>
  <c r="J16" i="2"/>
  <c r="K16" i="2"/>
  <c r="AT157" i="4"/>
  <c r="AU157" i="4"/>
  <c r="BM195" i="4"/>
  <c r="BQ195" i="4"/>
  <c r="BF142" i="4"/>
  <c r="BG142" i="4"/>
  <c r="CA131" i="4"/>
  <c r="CB131" i="4"/>
  <c r="AV132" i="4"/>
  <c r="AW132" i="4"/>
  <c r="K200" i="4"/>
  <c r="CC9" i="5"/>
  <c r="CD9" i="5"/>
  <c r="CF9" i="5"/>
  <c r="CG9" i="5"/>
  <c r="M35" i="5"/>
  <c r="BS68" i="5"/>
  <c r="BT68" i="5"/>
  <c r="R255" i="4"/>
  <c r="R253" i="5"/>
  <c r="BX255" i="4"/>
  <c r="P17" i="2"/>
  <c r="Q17" i="2"/>
  <c r="BF235" i="4"/>
  <c r="BG235" i="4"/>
  <c r="AP7" i="3"/>
  <c r="AT13" i="2"/>
  <c r="AU13" i="2"/>
  <c r="AP8" i="3"/>
  <c r="AT8" i="3"/>
  <c r="AU8" i="3"/>
  <c r="AT14" i="2"/>
  <c r="AU14" i="2"/>
  <c r="H35" i="5"/>
  <c r="AG48" i="5"/>
  <c r="AH48" i="5"/>
  <c r="AT20" i="4"/>
  <c r="AU20" i="4"/>
  <c r="E142" i="4"/>
  <c r="BB20" i="5"/>
  <c r="BC20" i="5"/>
  <c r="BL141" i="5"/>
  <c r="BM141" i="5"/>
  <c r="BN141" i="5"/>
  <c r="BM111" i="5"/>
  <c r="BN111" i="5"/>
  <c r="BB162" i="5"/>
  <c r="BC162" i="5"/>
  <c r="BB218" i="5"/>
  <c r="BC218" i="5"/>
  <c r="J82" i="4"/>
  <c r="D117" i="4"/>
  <c r="BM221" i="4"/>
  <c r="BQ221" i="4"/>
  <c r="S82" i="4"/>
  <c r="T82" i="4"/>
  <c r="H200" i="4"/>
  <c r="Y196" i="5"/>
  <c r="Z196" i="5"/>
  <c r="CD22" i="5"/>
  <c r="CF22" i="5"/>
  <c r="CG22" i="5"/>
  <c r="CC11" i="5"/>
  <c r="CD11" i="5"/>
  <c r="CF11" i="5"/>
  <c r="CG11" i="5"/>
  <c r="BM7" i="4"/>
  <c r="BQ7" i="4"/>
  <c r="P154" i="5"/>
  <c r="Q154" i="5"/>
  <c r="BP113" i="5"/>
  <c r="BQ113" i="5"/>
  <c r="BV93" i="5"/>
  <c r="O141" i="5"/>
  <c r="O14" i="2"/>
  <c r="O8" i="3"/>
  <c r="M11" i="3"/>
  <c r="N11" i="3"/>
  <c r="S6" i="3"/>
  <c r="T6" i="3"/>
  <c r="G17" i="2"/>
  <c r="H17" i="2"/>
  <c r="C5" i="3"/>
  <c r="AC196" i="5"/>
  <c r="U48" i="5"/>
  <c r="V48" i="5"/>
  <c r="W48" i="5"/>
  <c r="Y48" i="5"/>
  <c r="Z48" i="5"/>
  <c r="U11" i="2"/>
  <c r="B48" i="5"/>
  <c r="B11" i="2"/>
  <c r="B81" i="5"/>
  <c r="D81" i="5"/>
  <c r="B12" i="2"/>
  <c r="BM25" i="5"/>
  <c r="BN25" i="5"/>
  <c r="BP22" i="5"/>
  <c r="BQ22" i="5"/>
  <c r="I48" i="5"/>
  <c r="K48" i="5"/>
  <c r="I11" i="2"/>
  <c r="L141" i="5"/>
  <c r="L255" i="4"/>
  <c r="L14" i="2"/>
  <c r="BP176" i="4"/>
  <c r="BR176" i="4"/>
  <c r="BP7" i="5"/>
  <c r="BQ7" i="5"/>
  <c r="BM11" i="5"/>
  <c r="BN11" i="5"/>
  <c r="CC14" i="5"/>
  <c r="CD14" i="5"/>
  <c r="CC116" i="5"/>
  <c r="CD116" i="5"/>
  <c r="AG141" i="5"/>
  <c r="AH141" i="5"/>
  <c r="P11" i="3"/>
  <c r="Q11" i="3"/>
  <c r="K9" i="5"/>
  <c r="BA20" i="5"/>
  <c r="BA162" i="5"/>
  <c r="BA218" i="5"/>
  <c r="BP23" i="5"/>
  <c r="BQ23" i="5"/>
  <c r="S116" i="5"/>
  <c r="T116" i="5"/>
  <c r="E35" i="5"/>
  <c r="G21" i="5"/>
  <c r="CC19" i="5"/>
  <c r="CD19" i="5"/>
  <c r="AW107" i="5"/>
  <c r="BA222" i="5"/>
  <c r="CC190" i="5"/>
  <c r="CD190" i="5"/>
  <c r="CC13" i="5"/>
  <c r="CD13" i="5"/>
  <c r="AV24" i="4"/>
  <c r="AW24" i="4"/>
  <c r="AT30" i="4"/>
  <c r="AU30" i="4"/>
  <c r="AV72" i="4"/>
  <c r="AW72" i="4"/>
  <c r="AT235" i="4"/>
  <c r="BQ13" i="5"/>
  <c r="J7" i="5"/>
  <c r="BP17" i="5"/>
  <c r="BQ17" i="5"/>
  <c r="H25" i="5"/>
  <c r="BM235" i="4"/>
  <c r="BQ235" i="4"/>
  <c r="E191" i="5"/>
  <c r="BM11" i="4"/>
  <c r="BQ11" i="4"/>
  <c r="BM29" i="4"/>
  <c r="BQ29" i="4"/>
  <c r="AT29" i="4"/>
  <c r="AU29" i="4"/>
  <c r="E176" i="4"/>
  <c r="AV30" i="4"/>
  <c r="AW30" i="4"/>
  <c r="AS71" i="5"/>
  <c r="C174" i="5"/>
  <c r="B174" i="5"/>
  <c r="E174" i="5"/>
  <c r="AT36" i="4"/>
  <c r="AU36" i="4"/>
  <c r="BM168" i="4"/>
  <c r="BQ168" i="4"/>
  <c r="C255" i="4"/>
  <c r="C253" i="5"/>
  <c r="C18" i="2"/>
  <c r="B18" i="2"/>
  <c r="D18" i="2"/>
  <c r="E18" i="2"/>
  <c r="AT168" i="4"/>
  <c r="AU168" i="4"/>
  <c r="G7" i="5"/>
  <c r="BP8" i="5"/>
  <c r="BQ8" i="5"/>
  <c r="BP24" i="5"/>
  <c r="BQ24" i="5"/>
  <c r="BM30" i="4"/>
  <c r="BQ30" i="4"/>
  <c r="AB10" i="3"/>
  <c r="AC10" i="3"/>
  <c r="AS117" i="4"/>
  <c r="BM117" i="4"/>
  <c r="BQ117" i="4"/>
  <c r="BZ48" i="5"/>
  <c r="CA48" i="5"/>
  <c r="BJ196" i="5"/>
  <c r="AV34" i="5"/>
  <c r="AW34" i="5"/>
  <c r="BB34" i="5"/>
  <c r="BC34" i="5"/>
  <c r="AT138" i="4"/>
  <c r="AU138" i="4"/>
  <c r="AT34" i="4"/>
  <c r="AU34" i="4"/>
  <c r="AV36" i="4"/>
  <c r="AW36" i="4"/>
  <c r="J142" i="4"/>
  <c r="AV24" i="5"/>
  <c r="AW24" i="5"/>
  <c r="BM13" i="5"/>
  <c r="BN13" i="5"/>
  <c r="AS163" i="5"/>
  <c r="BB163" i="5"/>
  <c r="BC163" i="5"/>
  <c r="AT164" i="4"/>
  <c r="AU164" i="4"/>
  <c r="AD6" i="3"/>
  <c r="D17" i="2"/>
  <c r="E17" i="2"/>
  <c r="AT140" i="4"/>
  <c r="AU140" i="4"/>
  <c r="AE17" i="2"/>
  <c r="AF17" i="2"/>
  <c r="AV138" i="4"/>
  <c r="AW138" i="4"/>
  <c r="AV34" i="4"/>
  <c r="AW34" i="4"/>
  <c r="AS36" i="5"/>
  <c r="S231" i="5"/>
  <c r="T231" i="5"/>
  <c r="J11" i="3"/>
  <c r="K11" i="3"/>
  <c r="BP19" i="5"/>
  <c r="BQ19" i="5"/>
  <c r="J17" i="2"/>
  <c r="K17" i="2"/>
  <c r="R174" i="5"/>
  <c r="S174" i="5"/>
  <c r="T174" i="5"/>
  <c r="R15" i="2"/>
  <c r="BM140" i="4"/>
  <c r="BQ140" i="4"/>
  <c r="BM34" i="4"/>
  <c r="BQ34" i="4"/>
  <c r="AS137" i="5"/>
  <c r="BB137" i="5"/>
  <c r="BC137" i="5"/>
  <c r="D11" i="3"/>
  <c r="E11" i="3"/>
  <c r="V27" i="5"/>
  <c r="W27" i="5"/>
  <c r="D27" i="5"/>
  <c r="AS138" i="5"/>
  <c r="BB138" i="5"/>
  <c r="BC138" i="5"/>
  <c r="AT139" i="4"/>
  <c r="AU139" i="4"/>
  <c r="BM139" i="4"/>
  <c r="BQ139" i="4"/>
  <c r="BB24" i="5"/>
  <c r="BC24" i="5"/>
  <c r="AT28" i="4"/>
  <c r="AU28" i="4"/>
  <c r="AV28" i="4"/>
  <c r="AW28" i="4"/>
  <c r="BP15" i="5"/>
  <c r="BQ15" i="5"/>
  <c r="J10" i="5"/>
  <c r="G10" i="5"/>
  <c r="K10" i="5"/>
  <c r="H10" i="5"/>
  <c r="BP9" i="5"/>
  <c r="BQ9" i="5"/>
  <c r="AH9" i="5"/>
  <c r="V13" i="5"/>
  <c r="W13" i="5"/>
  <c r="AS11" i="5"/>
  <c r="AT11" i="4"/>
  <c r="AU11" i="4"/>
  <c r="BM28" i="4"/>
  <c r="BQ28" i="4"/>
  <c r="AS31" i="5"/>
  <c r="AV31" i="4"/>
  <c r="AW31" i="4"/>
  <c r="BP82" i="4"/>
  <c r="BR82" i="4"/>
  <c r="C116" i="5"/>
  <c r="C13" i="2"/>
  <c r="AS164" i="5"/>
  <c r="AT165" i="4"/>
  <c r="AU165" i="4"/>
  <c r="AF174" i="5"/>
  <c r="AG176" i="4"/>
  <c r="AH176" i="4"/>
  <c r="AD15" i="2"/>
  <c r="AD9" i="3"/>
  <c r="AA15" i="2"/>
  <c r="AA9" i="3"/>
  <c r="AE9" i="3"/>
  <c r="AF9" i="3"/>
  <c r="BE255" i="4"/>
  <c r="J191" i="5"/>
  <c r="BS25" i="5"/>
  <c r="BT25" i="5"/>
  <c r="BN255" i="4"/>
  <c r="AS106" i="5"/>
  <c r="AT107" i="4"/>
  <c r="AU107" i="4"/>
  <c r="BM107" i="4"/>
  <c r="BQ107" i="4"/>
  <c r="AS110" i="5"/>
  <c r="AT111" i="4"/>
  <c r="AU111" i="4"/>
  <c r="BM111" i="4"/>
  <c r="BQ111" i="4"/>
  <c r="AS161" i="5"/>
  <c r="AT162" i="4"/>
  <c r="AU162" i="4"/>
  <c r="BM162" i="4"/>
  <c r="BQ162" i="4"/>
  <c r="AS217" i="5"/>
  <c r="BB217" i="5"/>
  <c r="BC217" i="5"/>
  <c r="AT221" i="4"/>
  <c r="AU221" i="4"/>
  <c r="AE255" i="4"/>
  <c r="AV15" i="5"/>
  <c r="AW15" i="5"/>
  <c r="BO174" i="5"/>
  <c r="AX255" i="4"/>
  <c r="BF255" i="4"/>
  <c r="BG255" i="4"/>
  <c r="BO253" i="5"/>
  <c r="AS188" i="5"/>
  <c r="BB188" i="5"/>
  <c r="BC188" i="5"/>
  <c r="AT192" i="4"/>
  <c r="AU192" i="4"/>
  <c r="BM166" i="4"/>
  <c r="BQ166" i="4"/>
  <c r="H188" i="5"/>
  <c r="G188" i="5"/>
  <c r="AS195" i="5"/>
  <c r="AT199" i="4"/>
  <c r="AU199" i="4"/>
  <c r="AB8" i="3"/>
  <c r="AC8" i="3"/>
  <c r="J188" i="5"/>
  <c r="AR116" i="5"/>
  <c r="AT116" i="5"/>
  <c r="AU116" i="5"/>
  <c r="AY176" i="4"/>
  <c r="AZ176" i="4"/>
  <c r="AV195" i="4"/>
  <c r="AW195" i="4"/>
  <c r="V17" i="2"/>
  <c r="W17" i="2"/>
  <c r="BZ251" i="5"/>
  <c r="CA251" i="5"/>
  <c r="BM15" i="5"/>
  <c r="BN15" i="5"/>
  <c r="BM22" i="5"/>
  <c r="BN22" i="5"/>
  <c r="V9" i="5"/>
  <c r="W9" i="5"/>
  <c r="V26" i="5"/>
  <c r="W26" i="5"/>
  <c r="K7" i="5"/>
  <c r="G9" i="5"/>
  <c r="H9" i="5"/>
  <c r="BW253" i="5"/>
  <c r="M32" i="5"/>
  <c r="BM24" i="5"/>
  <c r="BN24" i="5"/>
  <c r="I141" i="5"/>
  <c r="I14" i="2"/>
  <c r="AS160" i="5"/>
  <c r="AT161" i="4"/>
  <c r="AU161" i="4"/>
  <c r="BM199" i="4"/>
  <c r="BQ199" i="4"/>
  <c r="D25" i="5"/>
  <c r="E25" i="5"/>
  <c r="K191" i="5"/>
  <c r="G32" i="5"/>
  <c r="H32" i="5"/>
  <c r="BF117" i="4"/>
  <c r="BG117" i="4"/>
  <c r="BM165" i="4"/>
  <c r="BQ165" i="4"/>
  <c r="AA174" i="5"/>
  <c r="BF176" i="4"/>
  <c r="BG176" i="4"/>
  <c r="AG7" i="5"/>
  <c r="AH7" i="5"/>
  <c r="K32" i="5"/>
  <c r="BC15" i="5"/>
  <c r="J32" i="5"/>
  <c r="AV7" i="5"/>
  <c r="AW7" i="5"/>
  <c r="BA7" i="5"/>
  <c r="H191" i="5"/>
  <c r="AV19" i="5"/>
  <c r="AW19" i="5"/>
  <c r="AV199" i="4"/>
  <c r="AW199" i="4"/>
  <c r="AT24" i="4"/>
  <c r="AU24" i="4"/>
  <c r="BP141" i="5"/>
  <c r="BQ141" i="5"/>
  <c r="BM24" i="4"/>
  <c r="BQ24" i="4"/>
  <c r="AF255" i="4"/>
  <c r="V15" i="5"/>
  <c r="W15" i="5"/>
  <c r="V21" i="5"/>
  <c r="W21" i="5"/>
  <c r="V16" i="5"/>
  <c r="W16" i="5"/>
  <c r="BM19" i="5"/>
  <c r="BN19" i="5"/>
  <c r="BM9" i="5"/>
  <c r="BN9" i="5"/>
  <c r="AN12" i="2"/>
  <c r="AO12" i="2"/>
  <c r="AS103" i="5"/>
  <c r="AT104" i="4"/>
  <c r="AU104" i="4"/>
  <c r="R141" i="5"/>
  <c r="R14" i="2"/>
  <c r="S14" i="2"/>
  <c r="T14" i="2"/>
  <c r="S142" i="4"/>
  <c r="T142" i="4"/>
  <c r="W64" i="4"/>
  <c r="V82" i="4"/>
  <c r="W82" i="4"/>
  <c r="U141" i="5"/>
  <c r="U14" i="2"/>
  <c r="Y14" i="2"/>
  <c r="Z14" i="2"/>
  <c r="U255" i="4"/>
  <c r="U18" i="2"/>
  <c r="R18" i="2"/>
  <c r="V18" i="2"/>
  <c r="W18" i="2"/>
  <c r="V176" i="4"/>
  <c r="BM192" i="4"/>
  <c r="BQ192" i="4"/>
  <c r="BP200" i="4"/>
  <c r="BR200" i="4"/>
  <c r="AS18" i="5"/>
  <c r="AV18" i="5"/>
  <c r="BA18" i="5"/>
  <c r="AT18" i="4"/>
  <c r="AU18" i="4"/>
  <c r="AV18" i="4"/>
  <c r="AW18" i="4"/>
  <c r="AS74" i="5"/>
  <c r="AT75" i="4"/>
  <c r="AU75" i="4"/>
  <c r="AV75" i="4"/>
  <c r="AW75" i="4"/>
  <c r="AS12" i="5"/>
  <c r="BB12" i="5"/>
  <c r="BC12" i="5"/>
  <c r="AT12" i="4"/>
  <c r="AU12" i="4"/>
  <c r="AV12" i="4"/>
  <c r="AW12" i="4"/>
  <c r="BM12" i="4"/>
  <c r="BQ12" i="4"/>
  <c r="BM18" i="4"/>
  <c r="BQ18" i="4"/>
  <c r="AS21" i="5"/>
  <c r="AV21" i="5"/>
  <c r="AV21" i="4"/>
  <c r="AW21" i="4"/>
  <c r="AT21" i="4"/>
  <c r="AU21" i="4"/>
  <c r="BM21" i="4"/>
  <c r="BQ21" i="4"/>
  <c r="X174" i="5"/>
  <c r="AB176" i="4"/>
  <c r="AC176" i="4"/>
  <c r="Y176" i="4"/>
  <c r="Z176" i="4"/>
  <c r="X15" i="2"/>
  <c r="AS109" i="5"/>
  <c r="AT110" i="4"/>
  <c r="AU110" i="4"/>
  <c r="BM110" i="4"/>
  <c r="BQ110" i="4"/>
  <c r="AV110" i="4"/>
  <c r="AW110" i="4"/>
  <c r="BV127" i="5"/>
  <c r="BS130" i="5"/>
  <c r="BT130" i="5"/>
  <c r="BZ130" i="5"/>
  <c r="CA130" i="5"/>
  <c r="AT167" i="4"/>
  <c r="AU167" i="4"/>
  <c r="AV167" i="4"/>
  <c r="AW167" i="4"/>
  <c r="D176" i="4"/>
  <c r="BY196" i="5"/>
  <c r="BZ196" i="5"/>
  <c r="CA196" i="5"/>
  <c r="CA200" i="4"/>
  <c r="CB200" i="4"/>
  <c r="BV237" i="5"/>
  <c r="BQ241" i="4"/>
  <c r="BV241" i="5"/>
  <c r="BQ245" i="4"/>
  <c r="BV245" i="5"/>
  <c r="BQ249" i="4"/>
  <c r="BV249" i="5"/>
  <c r="BQ253" i="4"/>
  <c r="X7" i="3"/>
  <c r="Y13" i="2"/>
  <c r="Z13" i="2"/>
  <c r="B255" i="4"/>
  <c r="B12" i="3"/>
  <c r="BM167" i="4"/>
  <c r="BQ167" i="4"/>
  <c r="AS16" i="5"/>
  <c r="AT16" i="4"/>
  <c r="AU16" i="4"/>
  <c r="BM16" i="4"/>
  <c r="BQ16" i="4"/>
  <c r="AV16" i="4"/>
  <c r="AW16" i="4"/>
  <c r="AS155" i="5"/>
  <c r="BB155" i="5"/>
  <c r="BC155" i="5"/>
  <c r="AT156" i="4"/>
  <c r="AU156" i="4"/>
  <c r="AV156" i="4"/>
  <c r="AW156" i="4"/>
  <c r="AL17" i="2"/>
  <c r="AH17" i="2"/>
  <c r="AI17" i="2"/>
  <c r="AG11" i="3"/>
  <c r="AK11" i="3"/>
  <c r="AL11" i="3"/>
  <c r="AS35" i="5"/>
  <c r="AV35" i="5"/>
  <c r="AT35" i="4"/>
  <c r="AU35" i="4"/>
  <c r="AV35" i="4"/>
  <c r="AW35" i="4"/>
  <c r="BQ35" i="4"/>
  <c r="AS59" i="5"/>
  <c r="AT60" i="4"/>
  <c r="AU60" i="4"/>
  <c r="AV60" i="4"/>
  <c r="AW60" i="4"/>
  <c r="AS102" i="5"/>
  <c r="BB102" i="5"/>
  <c r="BC102" i="5"/>
  <c r="AT103" i="4"/>
  <c r="AU103" i="4"/>
  <c r="AV103" i="4"/>
  <c r="AW103" i="4"/>
  <c r="AS154" i="5"/>
  <c r="AT155" i="4"/>
  <c r="AU155" i="4"/>
  <c r="AV155" i="4"/>
  <c r="AS158" i="5"/>
  <c r="AT159" i="4"/>
  <c r="AU159" i="4"/>
  <c r="AV159" i="4"/>
  <c r="AW159" i="4"/>
  <c r="AS23" i="5"/>
  <c r="AV23" i="5"/>
  <c r="AV23" i="4"/>
  <c r="AW23" i="4"/>
  <c r="AT23" i="4"/>
  <c r="AU23" i="4"/>
  <c r="AV71" i="4"/>
  <c r="AW71" i="4"/>
  <c r="AS77" i="5"/>
  <c r="AV77" i="5"/>
  <c r="AV78" i="4"/>
  <c r="AW78" i="4"/>
  <c r="AT78" i="4"/>
  <c r="AU78" i="4"/>
  <c r="AS132" i="5"/>
  <c r="BB132" i="5"/>
  <c r="BC132" i="5"/>
  <c r="AV133" i="4"/>
  <c r="AW133" i="4"/>
  <c r="AT133" i="4"/>
  <c r="AU133" i="4"/>
  <c r="AV137" i="4"/>
  <c r="AW137" i="4"/>
  <c r="AT137" i="4"/>
  <c r="AU137" i="4"/>
  <c r="AS130" i="5"/>
  <c r="AT131" i="4"/>
  <c r="AU131" i="4"/>
  <c r="AW131" i="4"/>
  <c r="AS79" i="5"/>
  <c r="AT80" i="4"/>
  <c r="AU80" i="4"/>
  <c r="AV80" i="4"/>
  <c r="AW80" i="4"/>
  <c r="BM80" i="4"/>
  <c r="BQ80" i="4"/>
  <c r="BY81" i="5"/>
  <c r="CA82" i="4"/>
  <c r="CB82" i="4"/>
  <c r="I174" i="5"/>
  <c r="I15" i="2"/>
  <c r="BQ242" i="4"/>
  <c r="BV242" i="5"/>
  <c r="BQ246" i="4"/>
  <c r="BV246" i="5"/>
  <c r="BQ250" i="4"/>
  <c r="I255" i="4"/>
  <c r="B10" i="3"/>
  <c r="D10" i="3"/>
  <c r="AE10" i="3"/>
  <c r="AF10" i="3"/>
  <c r="AE16" i="2"/>
  <c r="AF16" i="2"/>
  <c r="AS25" i="5"/>
  <c r="AT25" i="4"/>
  <c r="AU25" i="4"/>
  <c r="BM25" i="4"/>
  <c r="BQ25" i="4"/>
  <c r="AV25" i="4"/>
  <c r="AW25" i="4"/>
  <c r="AS66" i="5"/>
  <c r="BB66" i="5"/>
  <c r="BC66" i="5"/>
  <c r="AT67" i="4"/>
  <c r="AU67" i="4"/>
  <c r="BM67" i="4"/>
  <c r="BQ67" i="4"/>
  <c r="AV67" i="4"/>
  <c r="AW67" i="4"/>
  <c r="AT127" i="5"/>
  <c r="AU127" i="5"/>
  <c r="AR141" i="5"/>
  <c r="AT143" i="5"/>
  <c r="AU143" i="5"/>
  <c r="BV187" i="5"/>
  <c r="BA207" i="5"/>
  <c r="AS69" i="5"/>
  <c r="AT70" i="4"/>
  <c r="AU70" i="4"/>
  <c r="AV70" i="4"/>
  <c r="AW70" i="4"/>
  <c r="BA211" i="5"/>
  <c r="AS192" i="5"/>
  <c r="AT196" i="4"/>
  <c r="AU196" i="4"/>
  <c r="AV196" i="4"/>
  <c r="AW196" i="4"/>
  <c r="X255" i="4"/>
  <c r="AB255" i="4"/>
  <c r="AC255" i="4"/>
  <c r="BZ141" i="5"/>
  <c r="CA141" i="5"/>
  <c r="BT141" i="5"/>
  <c r="W97" i="5"/>
  <c r="AT9" i="4"/>
  <c r="AU9" i="4"/>
  <c r="AV9" i="4"/>
  <c r="AW9" i="4"/>
  <c r="AS32" i="5"/>
  <c r="AT32" i="4"/>
  <c r="AU32" i="4"/>
  <c r="AW32" i="4"/>
  <c r="BM32" i="4"/>
  <c r="BQ32" i="4"/>
  <c r="AS60" i="5"/>
  <c r="AV60" i="5"/>
  <c r="AT61" i="4"/>
  <c r="AU61" i="4"/>
  <c r="AV61" i="4"/>
  <c r="AW61" i="4"/>
  <c r="AS73" i="5"/>
  <c r="AV73" i="5"/>
  <c r="BA73" i="5"/>
  <c r="AT74" i="4"/>
  <c r="AU74" i="4"/>
  <c r="AV74" i="4"/>
  <c r="AW74" i="4"/>
  <c r="BM103" i="4"/>
  <c r="BQ103" i="4"/>
  <c r="AS115" i="5"/>
  <c r="AV115" i="5"/>
  <c r="AW115" i="5"/>
  <c r="AT116" i="4"/>
  <c r="AU116" i="4"/>
  <c r="AV116" i="4"/>
  <c r="AW116" i="4"/>
  <c r="AS128" i="5"/>
  <c r="AV128" i="5"/>
  <c r="AW128" i="5"/>
  <c r="AT129" i="4"/>
  <c r="AU129" i="4"/>
  <c r="AV129" i="4"/>
  <c r="AW129" i="4"/>
  <c r="AS171" i="5"/>
  <c r="BB171" i="5"/>
  <c r="BC171" i="5"/>
  <c r="AT172" i="4"/>
  <c r="AU172" i="4"/>
  <c r="AV172" i="4"/>
  <c r="AW172" i="4"/>
  <c r="AT13" i="4"/>
  <c r="AU13" i="4"/>
  <c r="BM13" i="4"/>
  <c r="BQ13" i="4"/>
  <c r="AV13" i="4"/>
  <c r="AW13" i="4"/>
  <c r="AS58" i="5"/>
  <c r="AW59" i="4"/>
  <c r="AT59" i="4"/>
  <c r="AU59" i="4"/>
  <c r="AS72" i="5"/>
  <c r="AV72" i="5"/>
  <c r="AV73" i="4"/>
  <c r="AW73" i="4"/>
  <c r="AT73" i="4"/>
  <c r="AU73" i="4"/>
  <c r="AS78" i="5"/>
  <c r="AV79" i="4"/>
  <c r="AW79" i="4"/>
  <c r="AT79" i="4"/>
  <c r="AU79" i="4"/>
  <c r="AS92" i="5"/>
  <c r="AV93" i="4"/>
  <c r="AW93" i="4"/>
  <c r="BM133" i="4"/>
  <c r="BQ133" i="4"/>
  <c r="AS142" i="4"/>
  <c r="AV144" i="4"/>
  <c r="AW144" i="4"/>
  <c r="BB255" i="4"/>
  <c r="BL253" i="5"/>
  <c r="B15" i="2"/>
  <c r="AS8" i="5"/>
  <c r="AT8" i="4"/>
  <c r="AU8" i="4"/>
  <c r="AV8" i="4"/>
  <c r="AW8" i="4"/>
  <c r="AS26" i="5"/>
  <c r="AV26" i="5"/>
  <c r="AT26" i="4"/>
  <c r="AU26" i="4"/>
  <c r="AV26" i="4"/>
  <c r="AW26" i="4"/>
  <c r="BB30" i="5"/>
  <c r="BC30" i="5"/>
  <c r="AV30" i="5"/>
  <c r="BA30" i="5"/>
  <c r="AT106" i="4"/>
  <c r="AU106" i="4"/>
  <c r="BM106" i="4"/>
  <c r="BQ106" i="4"/>
  <c r="AV106" i="4"/>
  <c r="AW106" i="4"/>
  <c r="BM155" i="4"/>
  <c r="BQ155" i="4"/>
  <c r="BV247" i="5"/>
  <c r="BQ251" i="4"/>
  <c r="X11" i="3"/>
  <c r="AM11" i="3"/>
  <c r="AN11" i="3"/>
  <c r="AO11" i="3"/>
  <c r="AN17" i="2"/>
  <c r="AO17" i="2"/>
  <c r="AV82" i="4"/>
  <c r="AW82" i="4"/>
  <c r="AV84" i="4"/>
  <c r="AW84" i="4"/>
  <c r="AG12" i="2"/>
  <c r="AK12" i="2"/>
  <c r="AL12" i="2"/>
  <c r="AT82" i="4"/>
  <c r="AU82" i="4"/>
  <c r="BM60" i="4"/>
  <c r="BQ60" i="4"/>
  <c r="AS76" i="5"/>
  <c r="BB76" i="5"/>
  <c r="BC76" i="5"/>
  <c r="AT77" i="4"/>
  <c r="AU77" i="4"/>
  <c r="AV77" i="4"/>
  <c r="AW77" i="4"/>
  <c r="BM23" i="4"/>
  <c r="BQ23" i="4"/>
  <c r="BM159" i="4"/>
  <c r="BQ159" i="4"/>
  <c r="AT197" i="4"/>
  <c r="AU197" i="4"/>
  <c r="AV197" i="4"/>
  <c r="AW197" i="4"/>
  <c r="BA213" i="5"/>
  <c r="P176" i="4"/>
  <c r="Q176" i="4"/>
  <c r="O15" i="2"/>
  <c r="AT192" i="5"/>
  <c r="AU192" i="5"/>
  <c r="AS22" i="5"/>
  <c r="AT22" i="4"/>
  <c r="AU22" i="4"/>
  <c r="AV22" i="4"/>
  <c r="AW22" i="4"/>
  <c r="AP255" i="4"/>
  <c r="S11" i="3"/>
  <c r="T11" i="3"/>
  <c r="AZ174" i="5"/>
  <c r="BM74" i="4"/>
  <c r="BQ74" i="4"/>
  <c r="AS97" i="5"/>
  <c r="BB97" i="5"/>
  <c r="BC97" i="5"/>
  <c r="AT98" i="4"/>
  <c r="AU98" i="4"/>
  <c r="AV98" i="4"/>
  <c r="AW98" i="4"/>
  <c r="AS112" i="5"/>
  <c r="BB112" i="5"/>
  <c r="BC112" i="5"/>
  <c r="AT113" i="4"/>
  <c r="AU113" i="4"/>
  <c r="AV113" i="4"/>
  <c r="AW113" i="4"/>
  <c r="BM116" i="4"/>
  <c r="BQ116" i="4"/>
  <c r="AS129" i="5"/>
  <c r="AT130" i="4"/>
  <c r="AU130" i="4"/>
  <c r="AS134" i="5"/>
  <c r="AV134" i="5"/>
  <c r="AT135" i="4"/>
  <c r="AU135" i="4"/>
  <c r="AV135" i="4"/>
  <c r="AW135" i="4"/>
  <c r="BM158" i="4"/>
  <c r="BQ158" i="4"/>
  <c r="AT160" i="4"/>
  <c r="AU160" i="4"/>
  <c r="BM160" i="4"/>
  <c r="BQ160" i="4"/>
  <c r="AV160" i="4"/>
  <c r="AW160" i="4"/>
  <c r="AS62" i="5"/>
  <c r="AV63" i="4"/>
  <c r="AW63" i="4"/>
  <c r="AT63" i="4"/>
  <c r="AU63" i="4"/>
  <c r="AS93" i="5"/>
  <c r="AV93" i="5"/>
  <c r="AV94" i="4"/>
  <c r="AW94" i="4"/>
  <c r="AT94" i="4"/>
  <c r="AU94" i="4"/>
  <c r="AW133" i="5"/>
  <c r="AV134" i="4"/>
  <c r="AW134" i="4"/>
  <c r="AT134" i="4"/>
  <c r="AU134" i="4"/>
  <c r="BU130" i="5"/>
  <c r="BV130" i="5"/>
  <c r="BM131" i="4"/>
  <c r="BQ131" i="4"/>
  <c r="BV154" i="5"/>
  <c r="BZ195" i="5"/>
  <c r="CA195" i="5"/>
  <c r="CC195" i="5"/>
  <c r="CD195" i="5"/>
  <c r="BV206" i="5"/>
  <c r="BV240" i="5"/>
  <c r="BQ244" i="4"/>
  <c r="BV244" i="5"/>
  <c r="BQ248" i="4"/>
  <c r="BV248" i="5"/>
  <c r="BQ252" i="4"/>
  <c r="S11" i="2"/>
  <c r="T11" i="2"/>
  <c r="AA11" i="3"/>
  <c r="AB17" i="2"/>
  <c r="AC17" i="2"/>
  <c r="AS95" i="5"/>
  <c r="AT96" i="4"/>
  <c r="AU96" i="4"/>
  <c r="AV96" i="4"/>
  <c r="AW96" i="4"/>
  <c r="BM96" i="4"/>
  <c r="BQ96" i="4"/>
  <c r="BM8" i="4"/>
  <c r="BQ8" i="4"/>
  <c r="BM26" i="4"/>
  <c r="BQ26" i="4"/>
  <c r="AV112" i="4"/>
  <c r="AW112" i="4"/>
  <c r="AS127" i="5"/>
  <c r="AT128" i="4"/>
  <c r="AU128" i="4"/>
  <c r="AV128" i="4"/>
  <c r="G11" i="3"/>
  <c r="H11" i="3"/>
  <c r="BM77" i="4"/>
  <c r="BQ77" i="4"/>
  <c r="BY174" i="5"/>
  <c r="CC174" i="5"/>
  <c r="CD174" i="5"/>
  <c r="CA176" i="4"/>
  <c r="CB176" i="4"/>
  <c r="AS170" i="5"/>
  <c r="BB170" i="5"/>
  <c r="BC170" i="5"/>
  <c r="AT171" i="4"/>
  <c r="AU171" i="4"/>
  <c r="BM171" i="4"/>
  <c r="BQ171" i="4"/>
  <c r="AV171" i="4"/>
  <c r="AW171" i="4"/>
  <c r="BM196" i="4"/>
  <c r="BQ196" i="4"/>
  <c r="AS75" i="5"/>
  <c r="BB75" i="5"/>
  <c r="BC75" i="5"/>
  <c r="AT76" i="4"/>
  <c r="AU76" i="4"/>
  <c r="AV76" i="4"/>
  <c r="AW76" i="4"/>
  <c r="AU235" i="4"/>
  <c r="CB175" i="5"/>
  <c r="CF175" i="5"/>
  <c r="CG175" i="5"/>
  <c r="AT200" i="4"/>
  <c r="AU200" i="4"/>
  <c r="BP255" i="4"/>
  <c r="BR255" i="4"/>
  <c r="V7" i="3"/>
  <c r="W7" i="3"/>
  <c r="AG13" i="2"/>
  <c r="AG7" i="3"/>
  <c r="CF81" i="5"/>
  <c r="CG81" i="5"/>
  <c r="BB96" i="5"/>
  <c r="BC96" i="5"/>
  <c r="H141" i="5"/>
  <c r="X6" i="3"/>
  <c r="BM200" i="4"/>
  <c r="BQ200" i="4"/>
  <c r="AG16" i="2"/>
  <c r="AK16" i="2"/>
  <c r="AL16" i="2"/>
  <c r="AG10" i="3"/>
  <c r="AK10" i="3"/>
  <c r="AL10" i="3"/>
  <c r="AH10" i="3"/>
  <c r="AI10" i="3"/>
  <c r="K116" i="5"/>
  <c r="D13" i="2"/>
  <c r="E13" i="2"/>
  <c r="BB67" i="5"/>
  <c r="BC67" i="5"/>
  <c r="H196" i="5"/>
  <c r="AM9" i="3"/>
  <c r="AN9" i="3"/>
  <c r="AO9" i="3"/>
  <c r="K196" i="5"/>
  <c r="G14" i="2"/>
  <c r="H14" i="2"/>
  <c r="BA80" i="5"/>
  <c r="BB167" i="5"/>
  <c r="BC167" i="5"/>
  <c r="G196" i="5"/>
  <c r="I10" i="3"/>
  <c r="J10" i="3"/>
  <c r="K10" i="3"/>
  <c r="S141" i="5"/>
  <c r="T141" i="5"/>
  <c r="AQ15" i="2"/>
  <c r="AR15" i="2"/>
  <c r="P141" i="5"/>
  <c r="Q141" i="5"/>
  <c r="CA142" i="4"/>
  <c r="CB142" i="4"/>
  <c r="E10" i="3"/>
  <c r="O253" i="5"/>
  <c r="S253" i="5"/>
  <c r="T253" i="5"/>
  <c r="AT17" i="2"/>
  <c r="AU17" i="2"/>
  <c r="AQ17" i="2"/>
  <c r="AR17" i="2"/>
  <c r="AP11" i="3"/>
  <c r="AN13" i="2"/>
  <c r="AO13" i="2"/>
  <c r="AQ13" i="2"/>
  <c r="AR13" i="2"/>
  <c r="P255" i="4"/>
  <c r="Q255" i="4"/>
  <c r="AW187" i="5"/>
  <c r="BY48" i="5"/>
  <c r="BY251" i="5"/>
  <c r="AM11" i="2"/>
  <c r="AQ11" i="2"/>
  <c r="AR11" i="2"/>
  <c r="BB187" i="5"/>
  <c r="BC187" i="5"/>
  <c r="CG142" i="4"/>
  <c r="CH142" i="4"/>
  <c r="AM14" i="2"/>
  <c r="AQ14" i="2"/>
  <c r="AA253" i="5"/>
  <c r="BZ255" i="4"/>
  <c r="CA255" i="4"/>
  <c r="CB255" i="4"/>
  <c r="CG48" i="4"/>
  <c r="CH48" i="4"/>
  <c r="S255" i="4"/>
  <c r="T255" i="4"/>
  <c r="BB101" i="5"/>
  <c r="BC101" i="5"/>
  <c r="AB13" i="2"/>
  <c r="AC13" i="2"/>
  <c r="BZ81" i="5"/>
  <c r="CA81" i="5"/>
  <c r="CC25" i="5"/>
  <c r="CD25" i="5"/>
  <c r="CF25" i="5"/>
  <c r="CG25" i="5"/>
  <c r="CA48" i="4"/>
  <c r="CB48" i="4"/>
  <c r="CC160" i="5"/>
  <c r="CD160" i="5"/>
  <c r="V81" i="5"/>
  <c r="W81" i="5"/>
  <c r="AV156" i="5"/>
  <c r="BA156" i="5"/>
  <c r="BB156" i="5"/>
  <c r="BC156" i="5"/>
  <c r="V12" i="2"/>
  <c r="W12" i="2"/>
  <c r="D141" i="5"/>
  <c r="N48" i="5"/>
  <c r="J48" i="5"/>
  <c r="M48" i="5"/>
  <c r="B6" i="3"/>
  <c r="B5" i="3"/>
  <c r="D5" i="3"/>
  <c r="E5" i="3"/>
  <c r="D11" i="2"/>
  <c r="E11" i="2"/>
  <c r="U5" i="3"/>
  <c r="Y5" i="3"/>
  <c r="Z5" i="3"/>
  <c r="Y11" i="2"/>
  <c r="Z11" i="2"/>
  <c r="L253" i="5"/>
  <c r="P253" i="5"/>
  <c r="Q253" i="5"/>
  <c r="L18" i="2"/>
  <c r="P18" i="2"/>
  <c r="Q18" i="2"/>
  <c r="L12" i="3"/>
  <c r="J11" i="2"/>
  <c r="K11" i="2"/>
  <c r="I5" i="3"/>
  <c r="M5" i="3"/>
  <c r="N5" i="3"/>
  <c r="E81" i="5"/>
  <c r="D48" i="5"/>
  <c r="E48" i="5"/>
  <c r="BB128" i="5"/>
  <c r="BC128" i="5"/>
  <c r="BA24" i="5"/>
  <c r="D255" i="4"/>
  <c r="AV71" i="5"/>
  <c r="AW71" i="5"/>
  <c r="BB71" i="5"/>
  <c r="BC71" i="5"/>
  <c r="BA34" i="5"/>
  <c r="AV138" i="5"/>
  <c r="R9" i="3"/>
  <c r="V9" i="3"/>
  <c r="W9" i="3"/>
  <c r="V15" i="2"/>
  <c r="W15" i="2"/>
  <c r="AQ255" i="4"/>
  <c r="AV163" i="5"/>
  <c r="AV137" i="5"/>
  <c r="BA137" i="5"/>
  <c r="AV36" i="5"/>
  <c r="BB36" i="5"/>
  <c r="BC36" i="5"/>
  <c r="AM10" i="3"/>
  <c r="AN10" i="3"/>
  <c r="AN16" i="2"/>
  <c r="AO16" i="2"/>
  <c r="U8" i="3"/>
  <c r="Y8" i="3"/>
  <c r="Z8" i="3"/>
  <c r="V14" i="2"/>
  <c r="W14" i="2"/>
  <c r="I8" i="3"/>
  <c r="J8" i="3"/>
  <c r="K8" i="3"/>
  <c r="J14" i="2"/>
  <c r="K14" i="2"/>
  <c r="AV195" i="5"/>
  <c r="AW195" i="5"/>
  <c r="BB195" i="5"/>
  <c r="BC195" i="5"/>
  <c r="AV217" i="5"/>
  <c r="G13" i="2"/>
  <c r="H13" i="2"/>
  <c r="C7" i="3"/>
  <c r="AV31" i="5"/>
  <c r="AW31" i="5"/>
  <c r="BB31" i="5"/>
  <c r="BC31" i="5"/>
  <c r="BB106" i="5"/>
  <c r="BC106" i="5"/>
  <c r="AV106" i="5"/>
  <c r="AW106" i="5"/>
  <c r="D116" i="5"/>
  <c r="E116" i="5"/>
  <c r="AB11" i="3"/>
  <c r="AC11" i="3"/>
  <c r="BB157" i="5"/>
  <c r="H116" i="5"/>
  <c r="AV191" i="5"/>
  <c r="AE15" i="2"/>
  <c r="AF15" i="2"/>
  <c r="AV110" i="5"/>
  <c r="AW110" i="5"/>
  <c r="BB110" i="5"/>
  <c r="BC110" i="5"/>
  <c r="BR253" i="5"/>
  <c r="BS253" i="5"/>
  <c r="BT253" i="5"/>
  <c r="AJ18" i="2"/>
  <c r="AJ12" i="3"/>
  <c r="BL255" i="4"/>
  <c r="BU251" i="5"/>
  <c r="K141" i="5"/>
  <c r="M141" i="5"/>
  <c r="J141" i="5"/>
  <c r="N141" i="5"/>
  <c r="G116" i="5"/>
  <c r="U253" i="5"/>
  <c r="V253" i="5"/>
  <c r="W253" i="5"/>
  <c r="AV160" i="5"/>
  <c r="BA160" i="5"/>
  <c r="BB160" i="5"/>
  <c r="BC160" i="5"/>
  <c r="BS174" i="5"/>
  <c r="BT174" i="5"/>
  <c r="AV161" i="5"/>
  <c r="BA161" i="5"/>
  <c r="BB161" i="5"/>
  <c r="BC161" i="5"/>
  <c r="AV164" i="5"/>
  <c r="AW164" i="5"/>
  <c r="BB164" i="5"/>
  <c r="BC164" i="5"/>
  <c r="AV11" i="5"/>
  <c r="BB11" i="5"/>
  <c r="BC11" i="5"/>
  <c r="V255" i="4"/>
  <c r="W255" i="4"/>
  <c r="BA128" i="5"/>
  <c r="AV129" i="5"/>
  <c r="AW129" i="5"/>
  <c r="BB129" i="5"/>
  <c r="BC129" i="5"/>
  <c r="AV112" i="5"/>
  <c r="BA112" i="5"/>
  <c r="AW101" i="5"/>
  <c r="AV66" i="5"/>
  <c r="BA66" i="5"/>
  <c r="BB25" i="5"/>
  <c r="BC25" i="5"/>
  <c r="AV25" i="5"/>
  <c r="AW25" i="5"/>
  <c r="AV132" i="5"/>
  <c r="AV158" i="5"/>
  <c r="AW158" i="5"/>
  <c r="BB158" i="5"/>
  <c r="BC158" i="5"/>
  <c r="E255" i="4"/>
  <c r="AV166" i="5"/>
  <c r="AW166" i="5"/>
  <c r="BB73" i="5"/>
  <c r="BC73" i="5"/>
  <c r="BB133" i="5"/>
  <c r="BC133" i="5"/>
  <c r="AK13" i="2"/>
  <c r="AL13" i="2"/>
  <c r="AV8" i="5"/>
  <c r="BA8" i="5"/>
  <c r="BB8" i="5"/>
  <c r="B9" i="3"/>
  <c r="D9" i="3"/>
  <c r="E9" i="3"/>
  <c r="D15" i="2"/>
  <c r="E15" i="2"/>
  <c r="AV127" i="5"/>
  <c r="AV95" i="5"/>
  <c r="AW95" i="5"/>
  <c r="BB95" i="5"/>
  <c r="BC95" i="5"/>
  <c r="AV62" i="5"/>
  <c r="BB62" i="5"/>
  <c r="BC62" i="5"/>
  <c r="CC81" i="5"/>
  <c r="CD81" i="5"/>
  <c r="AV78" i="5"/>
  <c r="BA78" i="5"/>
  <c r="BB78" i="5"/>
  <c r="BC78" i="5"/>
  <c r="AV32" i="5"/>
  <c r="BA32" i="5"/>
  <c r="BB32" i="5"/>
  <c r="BC32" i="5"/>
  <c r="M174" i="5"/>
  <c r="BB23" i="5"/>
  <c r="BC23" i="5"/>
  <c r="AW155" i="4"/>
  <c r="AV59" i="5"/>
  <c r="BB59" i="5"/>
  <c r="BC59" i="5"/>
  <c r="BB35" i="5"/>
  <c r="BC35" i="5"/>
  <c r="AH11" i="3"/>
  <c r="AI11" i="3"/>
  <c r="BB18" i="5"/>
  <c r="BC18" i="5"/>
  <c r="AW128" i="4"/>
  <c r="AV97" i="5"/>
  <c r="AA12" i="3"/>
  <c r="AV22" i="5"/>
  <c r="BA22" i="5"/>
  <c r="BB22" i="5"/>
  <c r="BC22" i="5"/>
  <c r="O12" i="3"/>
  <c r="S18" i="2"/>
  <c r="T18" i="2"/>
  <c r="R12" i="3"/>
  <c r="AV105" i="5"/>
  <c r="AT142" i="4"/>
  <c r="AU142" i="4"/>
  <c r="AG14" i="2"/>
  <c r="AV58" i="5"/>
  <c r="BA58" i="5"/>
  <c r="BB58" i="5"/>
  <c r="BC58" i="5"/>
  <c r="BB13" i="5"/>
  <c r="BC13" i="5"/>
  <c r="AV9" i="5"/>
  <c r="AW9" i="5"/>
  <c r="AV192" i="5"/>
  <c r="BA192" i="5"/>
  <c r="BB192" i="5"/>
  <c r="BC192" i="5"/>
  <c r="AV130" i="5"/>
  <c r="AW130" i="5"/>
  <c r="BB130" i="5"/>
  <c r="BC130" i="5"/>
  <c r="AV70" i="5"/>
  <c r="AE11" i="3"/>
  <c r="AF11" i="3"/>
  <c r="BM142" i="4"/>
  <c r="BQ142" i="4"/>
  <c r="AV109" i="5"/>
  <c r="AW109" i="5"/>
  <c r="BB109" i="5"/>
  <c r="BC109" i="5"/>
  <c r="AV74" i="5"/>
  <c r="BA74" i="5"/>
  <c r="BB74" i="5"/>
  <c r="BC74" i="5"/>
  <c r="AV76" i="5"/>
  <c r="AW76" i="5"/>
  <c r="X253" i="5"/>
  <c r="X18" i="2"/>
  <c r="I253" i="5"/>
  <c r="AV79" i="5"/>
  <c r="BB79" i="5"/>
  <c r="BC79" i="5"/>
  <c r="AV154" i="5"/>
  <c r="AW154" i="5"/>
  <c r="BB154" i="5"/>
  <c r="C12" i="3"/>
  <c r="D12" i="3"/>
  <c r="E12" i="3"/>
  <c r="X9" i="3"/>
  <c r="Y15" i="2"/>
  <c r="Z15" i="2"/>
  <c r="AB15" i="2"/>
  <c r="AC15" i="2"/>
  <c r="CC48" i="5"/>
  <c r="CD48" i="5"/>
  <c r="AM18" i="2"/>
  <c r="AM12" i="3"/>
  <c r="AN18" i="2"/>
  <c r="AO18" i="2"/>
  <c r="AR14" i="2"/>
  <c r="AM8" i="3"/>
  <c r="BY253" i="5"/>
  <c r="AN11" i="2"/>
  <c r="AO11" i="2"/>
  <c r="AM5" i="3"/>
  <c r="AN5" i="3"/>
  <c r="AO5" i="3"/>
  <c r="BA71" i="5"/>
  <c r="AW163" i="5"/>
  <c r="BA163" i="5"/>
  <c r="BA36" i="5"/>
  <c r="AW36" i="5"/>
  <c r="BZ253" i="5"/>
  <c r="CA253" i="5"/>
  <c r="AW11" i="5"/>
  <c r="BA11" i="5"/>
  <c r="U12" i="3"/>
  <c r="V12" i="3"/>
  <c r="W12" i="3"/>
  <c r="D7" i="3"/>
  <c r="E7" i="3"/>
  <c r="G7" i="3"/>
  <c r="H7" i="3"/>
  <c r="AW191" i="5"/>
  <c r="AO10" i="3"/>
  <c r="AW192" i="5"/>
  <c r="AK7" i="3"/>
  <c r="AL7" i="3"/>
  <c r="BA158" i="5"/>
  <c r="AW74" i="5"/>
  <c r="AW159" i="5"/>
  <c r="AW32" i="5"/>
  <c r="AW78" i="5"/>
  <c r="AW66" i="5"/>
  <c r="Y9" i="3"/>
  <c r="Z9" i="3"/>
  <c r="AB9" i="3"/>
  <c r="AC9" i="3"/>
  <c r="AW59" i="5"/>
  <c r="BA59" i="5"/>
  <c r="BC8" i="5"/>
  <c r="BA166" i="5"/>
  <c r="AW13" i="5"/>
  <c r="AW105" i="5"/>
  <c r="BA105" i="5"/>
  <c r="AW62" i="5"/>
  <c r="BA62" i="5"/>
  <c r="AW8" i="5"/>
  <c r="AZ50" i="5"/>
  <c r="BB50" i="5"/>
  <c r="AY51" i="5"/>
  <c r="BK141" i="5"/>
  <c r="AT141" i="5"/>
  <c r="AU141" i="5"/>
  <c r="BA134" i="5"/>
  <c r="BA76" i="5"/>
  <c r="BA106" i="5"/>
  <c r="BA31" i="5"/>
  <c r="AW29" i="5"/>
  <c r="BA224" i="5"/>
  <c r="BA27" i="5"/>
  <c r="BB104" i="5"/>
  <c r="BC104" i="5"/>
  <c r="BK81" i="5"/>
  <c r="BJ174" i="5"/>
  <c r="AZ141" i="5"/>
  <c r="AW18" i="5"/>
  <c r="BA19" i="5"/>
  <c r="V141" i="5"/>
  <c r="W141" i="5"/>
  <c r="AW167" i="5"/>
  <c r="BA9" i="5"/>
  <c r="Y116" i="5"/>
  <c r="Z116" i="5"/>
  <c r="BA129" i="5"/>
  <c r="BA195" i="5"/>
  <c r="BA110" i="5"/>
  <c r="BB159" i="5"/>
  <c r="BC159" i="5"/>
  <c r="AW160" i="5"/>
  <c r="BA15" i="5"/>
  <c r="BB223" i="5"/>
  <c r="BC223" i="5"/>
  <c r="AW68" i="5"/>
  <c r="BA215" i="5"/>
  <c r="AK253" i="5"/>
  <c r="W174" i="5"/>
  <c r="AL253" i="5"/>
  <c r="V116" i="5"/>
  <c r="W116" i="5"/>
  <c r="BA39" i="5"/>
  <c r="AN253" i="5"/>
  <c r="Y141" i="5"/>
  <c r="Z141" i="5"/>
  <c r="BA107" i="5"/>
  <c r="BA226" i="5"/>
  <c r="BB19" i="5"/>
  <c r="AW79" i="5"/>
  <c r="BA79" i="5"/>
  <c r="BA132" i="5"/>
  <c r="AW132" i="5"/>
  <c r="S15" i="2"/>
  <c r="T15" i="2"/>
  <c r="P15" i="2"/>
  <c r="Q15" i="2"/>
  <c r="BB16" i="5"/>
  <c r="BC16" i="5"/>
  <c r="AV16" i="5"/>
  <c r="P14" i="2"/>
  <c r="Q14" i="2"/>
  <c r="L8" i="3"/>
  <c r="M8" i="3"/>
  <c r="N8" i="3"/>
  <c r="AW208" i="5"/>
  <c r="BA208" i="5"/>
  <c r="AW72" i="5"/>
  <c r="BA72" i="5"/>
  <c r="BA60" i="5"/>
  <c r="AW60" i="5"/>
  <c r="BB69" i="5"/>
  <c r="BC69" i="5"/>
  <c r="AV69" i="5"/>
  <c r="BA23" i="5"/>
  <c r="AW23" i="5"/>
  <c r="BB103" i="5"/>
  <c r="BC103" i="5"/>
  <c r="AV103" i="5"/>
  <c r="AF116" i="5"/>
  <c r="AF253" i="5"/>
  <c r="AG253" i="5"/>
  <c r="AH253" i="5"/>
  <c r="AG174" i="5"/>
  <c r="AH174" i="5"/>
  <c r="BP174" i="5"/>
  <c r="BQ174" i="5"/>
  <c r="P6" i="3"/>
  <c r="Q6" i="3"/>
  <c r="M6" i="3"/>
  <c r="N6" i="3"/>
  <c r="AT12" i="2"/>
  <c r="AU12" i="2"/>
  <c r="AQ12" i="2"/>
  <c r="AR12" i="2"/>
  <c r="V11" i="2"/>
  <c r="W11" i="2"/>
  <c r="R5" i="3"/>
  <c r="V25" i="5"/>
  <c r="W25" i="5"/>
  <c r="S25" i="5"/>
  <c r="T25" i="5"/>
  <c r="AW137" i="5"/>
  <c r="BA157" i="5"/>
  <c r="AW97" i="5"/>
  <c r="BA97" i="5"/>
  <c r="AP6" i="3"/>
  <c r="BB127" i="5"/>
  <c r="AW35" i="5"/>
  <c r="BA35" i="5"/>
  <c r="M10" i="3"/>
  <c r="N10" i="3"/>
  <c r="Y18" i="2"/>
  <c r="Z18" i="2"/>
  <c r="AB18" i="2"/>
  <c r="AC18" i="2"/>
  <c r="X12" i="3"/>
  <c r="Y12" i="3"/>
  <c r="Z12" i="3"/>
  <c r="AW70" i="5"/>
  <c r="BA70" i="5"/>
  <c r="S12" i="3"/>
  <c r="T12" i="3"/>
  <c r="AV61" i="5"/>
  <c r="BB61" i="5"/>
  <c r="BC61" i="5"/>
  <c r="AW28" i="5"/>
  <c r="BA28" i="5"/>
  <c r="AZ116" i="5"/>
  <c r="AY118" i="5"/>
  <c r="AZ118" i="5"/>
  <c r="BB118" i="5"/>
  <c r="BM66" i="4"/>
  <c r="BQ66" i="4"/>
  <c r="AS65" i="5"/>
  <c r="AT66" i="4"/>
  <c r="AU66" i="4"/>
  <c r="AV66" i="4"/>
  <c r="AW66" i="4"/>
  <c r="AT38" i="4"/>
  <c r="AU38" i="4"/>
  <c r="AS37" i="5"/>
  <c r="BM38" i="4"/>
  <c r="BQ38" i="4"/>
  <c r="BA26" i="5"/>
  <c r="AW26" i="5"/>
  <c r="I9" i="3"/>
  <c r="AB7" i="3"/>
  <c r="AC7" i="3"/>
  <c r="Y7" i="3"/>
  <c r="Z7" i="3"/>
  <c r="AG6" i="3"/>
  <c r="AK6" i="3"/>
  <c r="AL6" i="3"/>
  <c r="AV188" i="5"/>
  <c r="AC128" i="5"/>
  <c r="AB141" i="5"/>
  <c r="AC141" i="5"/>
  <c r="BU62" i="5"/>
  <c r="BM63" i="4"/>
  <c r="BQ63" i="4"/>
  <c r="AZ220" i="5"/>
  <c r="AO231" i="5"/>
  <c r="AO253" i="5"/>
  <c r="AG219" i="5"/>
  <c r="AH219" i="5"/>
  <c r="BM219" i="5"/>
  <c r="BN219" i="5"/>
  <c r="BP219" i="5"/>
  <c r="BQ219" i="5"/>
  <c r="AB217" i="5"/>
  <c r="AC217" i="5"/>
  <c r="AG217" i="5"/>
  <c r="AH217" i="5"/>
  <c r="AB214" i="5"/>
  <c r="AC214" i="5"/>
  <c r="Y214" i="5"/>
  <c r="Z214" i="5"/>
  <c r="AT206" i="5"/>
  <c r="AU206" i="5"/>
  <c r="AR231" i="5"/>
  <c r="P206" i="5"/>
  <c r="Q206" i="5"/>
  <c r="S206" i="5"/>
  <c r="T206" i="5"/>
  <c r="AV198" i="5"/>
  <c r="AW198" i="5"/>
  <c r="BP195" i="5"/>
  <c r="BQ195" i="5"/>
  <c r="BS195" i="5"/>
  <c r="BT195" i="5"/>
  <c r="V195" i="5"/>
  <c r="W195" i="5"/>
  <c r="Y195" i="5"/>
  <c r="Z195" i="5"/>
  <c r="BM193" i="5"/>
  <c r="BN193" i="5"/>
  <c r="BP193" i="5"/>
  <c r="BQ193" i="5"/>
  <c r="AG193" i="5"/>
  <c r="AH193" i="5"/>
  <c r="M193" i="5"/>
  <c r="P193" i="5"/>
  <c r="Q193" i="5"/>
  <c r="BB190" i="5"/>
  <c r="BC190" i="5"/>
  <c r="AZ196" i="5"/>
  <c r="AZ199" i="5"/>
  <c r="AZ200" i="5"/>
  <c r="AZ201" i="5"/>
  <c r="BA190" i="5"/>
  <c r="AB190" i="5"/>
  <c r="AC190" i="5"/>
  <c r="Y190" i="5"/>
  <c r="Z190" i="5"/>
  <c r="AG189" i="5"/>
  <c r="AH189" i="5"/>
  <c r="AV189" i="5"/>
  <c r="BP189" i="5"/>
  <c r="BQ189" i="5"/>
  <c r="P189" i="5"/>
  <c r="Q189" i="5"/>
  <c r="N189" i="5"/>
  <c r="M189" i="5"/>
  <c r="BP168" i="5"/>
  <c r="BQ168" i="5"/>
  <c r="BS168" i="5"/>
  <c r="BT168" i="5"/>
  <c r="AB168" i="5"/>
  <c r="Y168" i="5"/>
  <c r="Z168" i="5"/>
  <c r="BK165" i="5"/>
  <c r="AP174" i="5"/>
  <c r="BA109" i="5"/>
  <c r="AW22" i="5"/>
  <c r="BA191" i="5"/>
  <c r="BC154" i="5"/>
  <c r="AH14" i="2"/>
  <c r="AI14" i="2"/>
  <c r="AG8" i="3"/>
  <c r="AK14" i="2"/>
  <c r="AL14" i="2"/>
  <c r="BA127" i="5"/>
  <c r="AW127" i="5"/>
  <c r="AW217" i="5"/>
  <c r="BA217" i="5"/>
  <c r="AW138" i="5"/>
  <c r="BA138" i="5"/>
  <c r="AW93" i="5"/>
  <c r="BA93" i="5"/>
  <c r="AD18" i="2"/>
  <c r="AG255" i="4"/>
  <c r="AH255" i="4"/>
  <c r="AT7" i="3"/>
  <c r="AU7" i="3"/>
  <c r="AQ7" i="3"/>
  <c r="AR7" i="3"/>
  <c r="AV221" i="5"/>
  <c r="BB221" i="5"/>
  <c r="BC221" i="5"/>
  <c r="AV225" i="5"/>
  <c r="BB225" i="5"/>
  <c r="BC225" i="5"/>
  <c r="Y174" i="5"/>
  <c r="Z174" i="5"/>
  <c r="AQ8" i="3"/>
  <c r="AR8" i="3"/>
  <c r="AN8" i="3"/>
  <c r="AO8" i="3"/>
  <c r="AT11" i="3"/>
  <c r="AU11" i="3"/>
  <c r="AQ11" i="3"/>
  <c r="AR11" i="3"/>
  <c r="P12" i="3"/>
  <c r="Q12" i="3"/>
  <c r="Y6" i="3"/>
  <c r="Z6" i="3"/>
  <c r="BQ247" i="4"/>
  <c r="AG171" i="5"/>
  <c r="AH171" i="5"/>
  <c r="BM171" i="5"/>
  <c r="BN171" i="5"/>
  <c r="BP171" i="5"/>
  <c r="BQ171" i="5"/>
  <c r="BM170" i="4"/>
  <c r="BQ170" i="4"/>
  <c r="AS169" i="5"/>
  <c r="AV170" i="4"/>
  <c r="AW170" i="4"/>
  <c r="AT170" i="4"/>
  <c r="AU170" i="4"/>
  <c r="AB253" i="5"/>
  <c r="AC253" i="5"/>
  <c r="AW77" i="5"/>
  <c r="BA77" i="5"/>
  <c r="BP214" i="5"/>
  <c r="BQ214" i="5"/>
  <c r="BS214" i="5"/>
  <c r="BT214" i="5"/>
  <c r="M253" i="5"/>
  <c r="N253" i="5"/>
  <c r="AW58" i="5"/>
  <c r="AW134" i="5"/>
  <c r="AN12" i="3"/>
  <c r="AO12" i="3"/>
  <c r="O9" i="3"/>
  <c r="AW21" i="5"/>
  <c r="BA21" i="5"/>
  <c r="P8" i="3"/>
  <c r="Q8" i="3"/>
  <c r="V10" i="5"/>
  <c r="W10" i="5"/>
  <c r="S10" i="5"/>
  <c r="T10" i="5"/>
  <c r="AV109" i="4"/>
  <c r="AW109" i="4"/>
  <c r="BM109" i="4"/>
  <c r="BQ109" i="4"/>
  <c r="AS108" i="5"/>
  <c r="AT109" i="4"/>
  <c r="AU109" i="4"/>
  <c r="AV119" i="4"/>
  <c r="AW119" i="4"/>
  <c r="AG117" i="4"/>
  <c r="AH117" i="4"/>
  <c r="AY117" i="4"/>
  <c r="AZ117" i="4"/>
  <c r="AD13" i="2"/>
  <c r="AV117" i="4"/>
  <c r="AW117" i="4"/>
  <c r="AT117" i="4"/>
  <c r="AU117" i="4"/>
  <c r="M9" i="3"/>
  <c r="N9" i="3"/>
  <c r="BK174" i="5"/>
  <c r="G8" i="5"/>
  <c r="J8" i="5"/>
  <c r="H8" i="5"/>
  <c r="K8" i="5"/>
  <c r="E237" i="5"/>
  <c r="D237" i="5"/>
  <c r="AG220" i="5"/>
  <c r="AH220" i="5"/>
  <c r="AB220" i="5"/>
  <c r="AC220" i="5"/>
  <c r="AP231" i="5"/>
  <c r="BK207" i="5"/>
  <c r="M206" i="5"/>
  <c r="N206" i="5"/>
  <c r="BM195" i="5"/>
  <c r="BN195" i="5"/>
  <c r="BV195" i="5"/>
  <c r="BB21" i="5"/>
  <c r="BC21" i="5"/>
  <c r="AS64" i="4"/>
  <c r="J15" i="5"/>
  <c r="H15" i="5"/>
  <c r="AV170" i="5"/>
  <c r="AV155" i="5"/>
  <c r="BA95" i="5"/>
  <c r="BA154" i="5"/>
  <c r="BA164" i="5"/>
  <c r="AV12" i="5"/>
  <c r="BB77" i="5"/>
  <c r="BC77" i="5"/>
  <c r="Y255" i="4"/>
  <c r="Z255" i="4"/>
  <c r="G16" i="2"/>
  <c r="H16" i="2"/>
  <c r="D14" i="2"/>
  <c r="E14" i="2"/>
  <c r="AW112" i="5"/>
  <c r="AW161" i="5"/>
  <c r="AW156" i="5"/>
  <c r="AN14" i="2"/>
  <c r="AO14" i="2"/>
  <c r="AH16" i="2"/>
  <c r="AI16" i="2"/>
  <c r="B253" i="5"/>
  <c r="D253" i="5"/>
  <c r="I18" i="2"/>
  <c r="AV92" i="5"/>
  <c r="AH6" i="3"/>
  <c r="AI6" i="3"/>
  <c r="AV75" i="5"/>
  <c r="AV171" i="5"/>
  <c r="AW30" i="5"/>
  <c r="Y12" i="2"/>
  <c r="Z12" i="2"/>
  <c r="D16" i="2"/>
  <c r="E16" i="2"/>
  <c r="AS111" i="5"/>
  <c r="E241" i="5"/>
  <c r="BU160" i="5"/>
  <c r="BM161" i="4"/>
  <c r="BQ161" i="4"/>
  <c r="BX159" i="5"/>
  <c r="BX174" i="5"/>
  <c r="BX253" i="5"/>
  <c r="BW176" i="4"/>
  <c r="BW255" i="4"/>
  <c r="F158" i="5"/>
  <c r="G159" i="4"/>
  <c r="K159" i="4"/>
  <c r="F176" i="4"/>
  <c r="AI69" i="5"/>
  <c r="AI81" i="5"/>
  <c r="AI82" i="4"/>
  <c r="AI255" i="4"/>
  <c r="W9" i="4"/>
  <c r="V48" i="4"/>
  <c r="W48" i="4"/>
  <c r="BZ79" i="5"/>
  <c r="CA79" i="5"/>
  <c r="BS79" i="5"/>
  <c r="BT79" i="5"/>
  <c r="BV67" i="5"/>
  <c r="BM67" i="5"/>
  <c r="BN67" i="5"/>
  <c r="AP48" i="5"/>
  <c r="BK32" i="5"/>
  <c r="BB92" i="5"/>
  <c r="N174" i="5"/>
  <c r="BB134" i="5"/>
  <c r="BC134" i="5"/>
  <c r="BB72" i="5"/>
  <c r="BC72" i="5"/>
  <c r="R8" i="3"/>
  <c r="S8" i="3"/>
  <c r="T8" i="3"/>
  <c r="D174" i="5"/>
  <c r="BB68" i="5"/>
  <c r="BC68" i="5"/>
  <c r="AW73" i="5"/>
  <c r="BU196" i="5"/>
  <c r="G11" i="2"/>
  <c r="H11" i="2"/>
  <c r="F5" i="3"/>
  <c r="BB226" i="5"/>
  <c r="BC226" i="5"/>
  <c r="AG8" i="5"/>
  <c r="AH8" i="5"/>
  <c r="BM8" i="5"/>
  <c r="BN8" i="5"/>
  <c r="BM14" i="5"/>
  <c r="BN14" i="5"/>
  <c r="AG14" i="5"/>
  <c r="AH14" i="5"/>
  <c r="BP14" i="5"/>
  <c r="BQ14" i="5"/>
  <c r="BQ254" i="4"/>
  <c r="BV250" i="5"/>
  <c r="BM37" i="4"/>
  <c r="BQ37" i="4"/>
  <c r="AT37" i="4"/>
  <c r="AU37" i="4"/>
  <c r="V235" i="4"/>
  <c r="W235" i="4"/>
  <c r="U231" i="5"/>
  <c r="V8" i="3"/>
  <c r="W8" i="3"/>
  <c r="AW96" i="5"/>
  <c r="BM14" i="4"/>
  <c r="BQ14" i="4"/>
  <c r="BC189" i="5"/>
  <c r="J159" i="4"/>
  <c r="U11" i="3"/>
  <c r="V11" i="3"/>
  <c r="W11" i="3"/>
  <c r="Y17" i="2"/>
  <c r="Z17" i="2"/>
  <c r="K82" i="4"/>
  <c r="G82" i="4"/>
  <c r="F12" i="2"/>
  <c r="F81" i="5"/>
  <c r="BU239" i="5"/>
  <c r="BM243" i="4"/>
  <c r="AK255" i="4"/>
  <c r="AM235" i="4"/>
  <c r="AM255" i="4"/>
  <c r="AT158" i="4"/>
  <c r="AU158" i="4"/>
  <c r="AS165" i="5"/>
  <c r="BU22" i="5"/>
  <c r="BM22" i="4"/>
  <c r="BQ22" i="4"/>
  <c r="AV102" i="5"/>
  <c r="AH12" i="2"/>
  <c r="AI12" i="2"/>
  <c r="BB60" i="5"/>
  <c r="BA25" i="5"/>
  <c r="AR64" i="5"/>
  <c r="AR81" i="5"/>
  <c r="V19" i="5"/>
  <c r="W19" i="5"/>
  <c r="AP9" i="3"/>
  <c r="AT15" i="2"/>
  <c r="AU15" i="2"/>
  <c r="Y10" i="3"/>
  <c r="Z10" i="3"/>
  <c r="BM62" i="4"/>
  <c r="BQ62" i="4"/>
  <c r="AV62" i="4"/>
  <c r="AW62" i="4"/>
  <c r="BA210" i="5"/>
  <c r="AW210" i="5"/>
  <c r="BM100" i="4"/>
  <c r="BQ100" i="4"/>
  <c r="AS99" i="5"/>
  <c r="BU64" i="5"/>
  <c r="BV64" i="5"/>
  <c r="AS65" i="4"/>
  <c r="AT64" i="5"/>
  <c r="AU64" i="5"/>
  <c r="AS10" i="4"/>
  <c r="AR10" i="5"/>
  <c r="AR48" i="4"/>
  <c r="AS48" i="4"/>
  <c r="J244" i="5"/>
  <c r="M244" i="5"/>
  <c r="K244" i="5"/>
  <c r="N244" i="5"/>
  <c r="M207" i="5"/>
  <c r="K207" i="5"/>
  <c r="BK206" i="5"/>
  <c r="AQ231" i="5"/>
  <c r="AQ253" i="5"/>
  <c r="AT188" i="5"/>
  <c r="AU188" i="5"/>
  <c r="AR196" i="5"/>
  <c r="AT196" i="5"/>
  <c r="AU196" i="5"/>
  <c r="BZ7" i="5"/>
  <c r="CA7" i="5"/>
  <c r="BU141" i="5"/>
  <c r="BV141" i="5"/>
  <c r="BB93" i="5"/>
  <c r="BC93" i="5"/>
  <c r="BB26" i="5"/>
  <c r="BC26" i="5"/>
  <c r="P12" i="2"/>
  <c r="Q12" i="2"/>
  <c r="AY255" i="4"/>
  <c r="AZ255" i="4"/>
  <c r="BM112" i="4"/>
  <c r="BQ112" i="4"/>
  <c r="BA130" i="5"/>
  <c r="AS14" i="5"/>
  <c r="AT93" i="4"/>
  <c r="AU93" i="4"/>
  <c r="AT100" i="4"/>
  <c r="AU100" i="4"/>
  <c r="AT71" i="4"/>
  <c r="AU71" i="4"/>
  <c r="G15" i="5"/>
  <c r="BP159" i="5"/>
  <c r="BQ159" i="5"/>
  <c r="BM130" i="4"/>
  <c r="BQ130" i="4"/>
  <c r="AV130" i="4"/>
  <c r="AW130" i="4"/>
  <c r="S103" i="5"/>
  <c r="T103" i="5"/>
  <c r="CC188" i="5"/>
  <c r="CD188" i="5"/>
  <c r="BZ188" i="5"/>
  <c r="CA188" i="5"/>
  <c r="AA11" i="2"/>
  <c r="AG48" i="4"/>
  <c r="AH48" i="4"/>
  <c r="AB48" i="4"/>
  <c r="AC48" i="4"/>
  <c r="G13" i="5"/>
  <c r="K13" i="5"/>
  <c r="J13" i="5"/>
  <c r="BM137" i="4"/>
  <c r="BQ137" i="4"/>
  <c r="AS136" i="5"/>
  <c r="BA212" i="5"/>
  <c r="AW212" i="5"/>
  <c r="BM197" i="4"/>
  <c r="BQ197" i="4"/>
  <c r="AS193" i="5"/>
  <c r="AV193" i="5"/>
  <c r="AW193" i="5"/>
  <c r="B196" i="5"/>
  <c r="E200" i="4"/>
  <c r="BB131" i="5"/>
  <c r="BC131" i="5"/>
  <c r="AV131" i="5"/>
  <c r="H24" i="5"/>
  <c r="G24" i="5"/>
  <c r="AJ174" i="5"/>
  <c r="AJ253" i="5"/>
  <c r="AT223" i="4"/>
  <c r="AU223" i="4"/>
  <c r="BM223" i="4"/>
  <c r="BQ223" i="4"/>
  <c r="AS219" i="5"/>
  <c r="AV219" i="5"/>
  <c r="AW219" i="5"/>
  <c r="BU214" i="5"/>
  <c r="BM218" i="4"/>
  <c r="BQ218" i="4"/>
  <c r="BV104" i="5"/>
  <c r="BM104" i="5"/>
  <c r="BN104" i="5"/>
  <c r="AS206" i="5"/>
  <c r="AV210" i="4"/>
  <c r="AW210" i="4"/>
  <c r="BM210" i="4"/>
  <c r="BQ210" i="4"/>
  <c r="BB214" i="5"/>
  <c r="BC214" i="5"/>
  <c r="AV214" i="5"/>
  <c r="M81" i="5"/>
  <c r="N81" i="5"/>
  <c r="AT218" i="4"/>
  <c r="AU218" i="4"/>
  <c r="AV218" i="4"/>
  <c r="AW218" i="4"/>
  <c r="S23" i="5"/>
  <c r="T23" i="5"/>
  <c r="V23" i="5"/>
  <c r="W23" i="5"/>
  <c r="AV95" i="4"/>
  <c r="AW95" i="4"/>
  <c r="BM95" i="4"/>
  <c r="BQ95" i="4"/>
  <c r="AS94" i="5"/>
  <c r="AV94" i="5"/>
  <c r="AW100" i="5"/>
  <c r="BA100" i="5"/>
  <c r="P196" i="5"/>
  <c r="Q196" i="5"/>
  <c r="M196" i="5"/>
  <c r="N196" i="5"/>
  <c r="BP169" i="5"/>
  <c r="BQ169" i="5"/>
  <c r="BS169" i="5"/>
  <c r="BT169" i="5"/>
  <c r="AS169" i="4"/>
  <c r="AR176" i="4"/>
  <c r="BV99" i="5"/>
  <c r="BU116" i="5"/>
  <c r="BV116" i="5"/>
  <c r="AG23" i="5"/>
  <c r="AH23" i="5"/>
  <c r="BM23" i="5"/>
  <c r="BN23" i="5"/>
  <c r="C12" i="2"/>
  <c r="E82" i="4"/>
  <c r="D82" i="4"/>
  <c r="E24" i="5"/>
  <c r="BO81" i="5"/>
  <c r="BP81" i="5"/>
  <c r="BQ81" i="5"/>
  <c r="AI196" i="5"/>
  <c r="AI253" i="5"/>
  <c r="AR172" i="5"/>
  <c r="AS175" i="4"/>
  <c r="BM169" i="4"/>
  <c r="BQ169" i="4"/>
  <c r="AI176" i="4"/>
  <c r="BM189" i="5"/>
  <c r="BN189" i="5"/>
  <c r="BL196" i="5"/>
  <c r="BM196" i="5"/>
  <c r="BN196" i="5"/>
  <c r="BL82" i="4"/>
  <c r="BM82" i="4"/>
  <c r="BQ82" i="4"/>
  <c r="AT31" i="4"/>
  <c r="AU31" i="4"/>
  <c r="BU220" i="5"/>
  <c r="BV220" i="5"/>
  <c r="BM224" i="4"/>
  <c r="BQ224" i="4"/>
  <c r="AT220" i="4"/>
  <c r="AU220" i="4"/>
  <c r="AS216" i="5"/>
  <c r="AV216" i="5"/>
  <c r="AW216" i="5"/>
  <c r="BZ190" i="5"/>
  <c r="CA190" i="5"/>
  <c r="AE231" i="5"/>
  <c r="AE253" i="5"/>
  <c r="P231" i="5"/>
  <c r="Q231" i="5"/>
  <c r="AA81" i="5"/>
  <c r="AA12" i="2"/>
  <c r="M7" i="3"/>
  <c r="N7" i="3"/>
  <c r="CB192" i="5"/>
  <c r="CL196" i="4"/>
  <c r="CM196" i="4"/>
  <c r="CB23" i="5"/>
  <c r="CL23" i="4"/>
  <c r="CM23" i="4"/>
  <c r="CL8" i="4"/>
  <c r="CM8" i="4"/>
  <c r="CB8" i="5"/>
  <c r="AT11" i="2"/>
  <c r="AU11" i="2"/>
  <c r="AP5" i="3"/>
  <c r="CB224" i="5"/>
  <c r="CL228" i="4"/>
  <c r="CM228" i="4"/>
  <c r="CL211" i="4"/>
  <c r="CM211" i="4"/>
  <c r="CG211" i="4"/>
  <c r="CH211" i="4"/>
  <c r="CB207" i="5"/>
  <c r="CL158" i="4"/>
  <c r="CM158" i="4"/>
  <c r="CB157" i="5"/>
  <c r="CL141" i="4"/>
  <c r="CM141" i="4"/>
  <c r="CL102" i="4"/>
  <c r="CM102" i="4"/>
  <c r="CL17" i="4"/>
  <c r="CM17" i="4"/>
  <c r="CB17" i="5"/>
  <c r="CG7" i="4"/>
  <c r="CH7" i="4"/>
  <c r="CL7" i="4"/>
  <c r="CM7" i="4"/>
  <c r="CB7" i="5"/>
  <c r="CC7" i="5"/>
  <c r="CD7" i="5"/>
  <c r="CL111" i="4"/>
  <c r="CM111" i="4"/>
  <c r="CL29" i="4"/>
  <c r="CM29" i="4"/>
  <c r="CB29" i="5"/>
  <c r="CB187" i="5"/>
  <c r="CL191" i="4"/>
  <c r="CM191" i="4"/>
  <c r="CL131" i="4"/>
  <c r="CM131" i="4"/>
  <c r="CL104" i="4"/>
  <c r="CM104" i="4"/>
  <c r="CB28" i="5"/>
  <c r="CL28" i="4"/>
  <c r="CM28" i="4"/>
  <c r="CC115" i="5"/>
  <c r="CD115" i="5"/>
  <c r="CL116" i="4"/>
  <c r="CM116" i="4"/>
  <c r="CG110" i="4"/>
  <c r="CH110" i="4"/>
  <c r="CB80" i="5"/>
  <c r="CL81" i="4"/>
  <c r="CM81" i="4"/>
  <c r="CL96" i="4"/>
  <c r="CM96" i="4"/>
  <c r="CB15" i="5"/>
  <c r="CL15" i="4"/>
  <c r="CM15" i="4"/>
  <c r="CL233" i="4"/>
  <c r="CM233" i="4"/>
  <c r="CB229" i="5"/>
  <c r="CL216" i="4"/>
  <c r="CM216" i="4"/>
  <c r="CB212" i="5"/>
  <c r="CF200" i="4"/>
  <c r="CL195" i="4"/>
  <c r="CM195" i="4"/>
  <c r="CL129" i="4"/>
  <c r="CM129" i="4"/>
  <c r="CB128" i="5"/>
  <c r="CG115" i="5"/>
  <c r="CI255" i="4"/>
  <c r="CI62" i="5"/>
  <c r="CJ62" i="5"/>
  <c r="BM221" i="5"/>
  <c r="BN221" i="5"/>
  <c r="BP166" i="5"/>
  <c r="BQ166" i="5"/>
  <c r="CL24" i="4"/>
  <c r="CM24" i="4"/>
  <c r="CG24" i="4"/>
  <c r="CH24" i="4"/>
  <c r="CL197" i="4"/>
  <c r="CM197" i="4"/>
  <c r="CB193" i="5"/>
  <c r="CC193" i="5"/>
  <c r="CD193" i="5"/>
  <c r="CL31" i="4"/>
  <c r="CM31" i="4"/>
  <c r="CB31" i="5"/>
  <c r="CB216" i="5"/>
  <c r="CL220" i="4"/>
  <c r="CM220" i="4"/>
  <c r="CB172" i="5"/>
  <c r="CF172" i="5"/>
  <c r="CG172" i="5"/>
  <c r="CL174" i="4"/>
  <c r="CM174" i="4"/>
  <c r="CB155" i="5"/>
  <c r="CL156" i="4"/>
  <c r="CM156" i="4"/>
  <c r="CI78" i="5"/>
  <c r="CJ78" i="5"/>
  <c r="CI172" i="5"/>
  <c r="CJ172" i="5"/>
  <c r="CI156" i="5"/>
  <c r="CJ156" i="5"/>
  <c r="CI227" i="5"/>
  <c r="CJ227" i="5"/>
  <c r="CI211" i="5"/>
  <c r="CJ211" i="5"/>
  <c r="CL107" i="4"/>
  <c r="CM107" i="4"/>
  <c r="CL100" i="4"/>
  <c r="CM100" i="4"/>
  <c r="CL20" i="4"/>
  <c r="CM20" i="4"/>
  <c r="CB20" i="5"/>
  <c r="CB12" i="5"/>
  <c r="CL112" i="4"/>
  <c r="CM112" i="4"/>
  <c r="CI43" i="5"/>
  <c r="CJ43" i="5"/>
  <c r="CF43" i="5"/>
  <c r="CG43" i="5"/>
  <c r="CI139" i="5"/>
  <c r="CJ139" i="5"/>
  <c r="CL229" i="4"/>
  <c r="CM229" i="4"/>
  <c r="CL221" i="4"/>
  <c r="CM221" i="4"/>
  <c r="CL217" i="4"/>
  <c r="CM217" i="4"/>
  <c r="CL199" i="4"/>
  <c r="CM199" i="4"/>
  <c r="CL108" i="4"/>
  <c r="CM108" i="4"/>
  <c r="CL74" i="4"/>
  <c r="CM74" i="4"/>
  <c r="CL66" i="4"/>
  <c r="CM66" i="4"/>
  <c r="CL44" i="4"/>
  <c r="CM44" i="4"/>
  <c r="CL40" i="4"/>
  <c r="CM40" i="4"/>
  <c r="CL137" i="4"/>
  <c r="CM137" i="4"/>
  <c r="CB136" i="5"/>
  <c r="AW7" i="3"/>
  <c r="AX7" i="3"/>
  <c r="CL231" i="4"/>
  <c r="CM231" i="4"/>
  <c r="CB227" i="5"/>
  <c r="CC227" i="5"/>
  <c r="CD227" i="5"/>
  <c r="CB206" i="5"/>
  <c r="BS226" i="5"/>
  <c r="BT226" i="5"/>
  <c r="CI9" i="5"/>
  <c r="CJ9" i="5"/>
  <c r="AW15" i="2"/>
  <c r="AX15" i="2"/>
  <c r="BK231" i="5"/>
  <c r="CG99" i="5"/>
  <c r="CC99" i="5"/>
  <c r="CD99" i="5"/>
  <c r="AW12" i="5"/>
  <c r="BA12" i="5"/>
  <c r="CG106" i="5"/>
  <c r="CC106" i="5"/>
  <c r="CD106" i="5"/>
  <c r="CF227" i="5"/>
  <c r="CG227" i="5"/>
  <c r="BL172" i="5"/>
  <c r="AT175" i="4"/>
  <c r="AU175" i="4"/>
  <c r="BM175" i="4"/>
  <c r="BQ175" i="4"/>
  <c r="AS172" i="5"/>
  <c r="AV172" i="5"/>
  <c r="AW172" i="5"/>
  <c r="E196" i="5"/>
  <c r="D196" i="5"/>
  <c r="BU174" i="5"/>
  <c r="BV160" i="5"/>
  <c r="AV37" i="5"/>
  <c r="BB37" i="5"/>
  <c r="F15" i="2"/>
  <c r="J176" i="4"/>
  <c r="K176" i="4"/>
  <c r="H176" i="4"/>
  <c r="G176" i="4"/>
  <c r="F174" i="5"/>
  <c r="AH8" i="3"/>
  <c r="AI8" i="3"/>
  <c r="AK8" i="3"/>
  <c r="AL8" i="3"/>
  <c r="BA220" i="5"/>
  <c r="BB220" i="5"/>
  <c r="BC220" i="5"/>
  <c r="BA193" i="5"/>
  <c r="BA103" i="5"/>
  <c r="AW103" i="5"/>
  <c r="AV142" i="4"/>
  <c r="AW142" i="4"/>
  <c r="CF136" i="5"/>
  <c r="CG136" i="5"/>
  <c r="CC136" i="5"/>
  <c r="CD136" i="5"/>
  <c r="CF128" i="5"/>
  <c r="CG128" i="5"/>
  <c r="CC128" i="5"/>
  <c r="CD128" i="5"/>
  <c r="CF187" i="5"/>
  <c r="CG187" i="5"/>
  <c r="CC187" i="5"/>
  <c r="CD187" i="5"/>
  <c r="CF17" i="5"/>
  <c r="CG17" i="5"/>
  <c r="CC17" i="5"/>
  <c r="CD17" i="5"/>
  <c r="CF207" i="5"/>
  <c r="CG207" i="5"/>
  <c r="CC207" i="5"/>
  <c r="CD207" i="5"/>
  <c r="BB206" i="5"/>
  <c r="AV206" i="5"/>
  <c r="AS231" i="5"/>
  <c r="AV99" i="5"/>
  <c r="BB99" i="5"/>
  <c r="BC99" i="5"/>
  <c r="AT9" i="3"/>
  <c r="AU9" i="3"/>
  <c r="AQ9" i="3"/>
  <c r="AR9" i="3"/>
  <c r="AZ228" i="5"/>
  <c r="AW92" i="5"/>
  <c r="BA92" i="5"/>
  <c r="BA189" i="5"/>
  <c r="AW189" i="5"/>
  <c r="C6" i="3"/>
  <c r="D6" i="3"/>
  <c r="E6" i="3"/>
  <c r="D12" i="2"/>
  <c r="E12" i="2"/>
  <c r="AV14" i="5"/>
  <c r="BB14" i="5"/>
  <c r="AT65" i="4"/>
  <c r="AU65" i="4"/>
  <c r="AS64" i="5"/>
  <c r="AV65" i="4"/>
  <c r="AW65" i="4"/>
  <c r="AW171" i="5"/>
  <c r="BA171" i="5"/>
  <c r="BA188" i="5"/>
  <c r="AW188" i="5"/>
  <c r="BC127" i="5"/>
  <c r="AA6" i="3"/>
  <c r="AB12" i="2"/>
  <c r="AC12" i="2"/>
  <c r="AE12" i="2"/>
  <c r="AF12" i="2"/>
  <c r="AT172" i="5"/>
  <c r="AU172" i="5"/>
  <c r="AR174" i="5"/>
  <c r="AW102" i="5"/>
  <c r="BA102" i="5"/>
  <c r="AE13" i="2"/>
  <c r="AF13" i="2"/>
  <c r="AD7" i="3"/>
  <c r="AH13" i="2"/>
  <c r="AI13" i="2"/>
  <c r="CF12" i="5"/>
  <c r="CG12" i="5"/>
  <c r="CC12" i="5"/>
  <c r="CD12" i="5"/>
  <c r="CF15" i="5"/>
  <c r="CG15" i="5"/>
  <c r="CC15" i="5"/>
  <c r="CD15" i="5"/>
  <c r="CF29" i="5"/>
  <c r="CG29" i="5"/>
  <c r="CC29" i="5"/>
  <c r="CD29" i="5"/>
  <c r="AT48" i="4"/>
  <c r="AU48" i="4"/>
  <c r="BM48" i="4"/>
  <c r="BQ48" i="4"/>
  <c r="AV48" i="4"/>
  <c r="AW48" i="4"/>
  <c r="AG11" i="2"/>
  <c r="BA219" i="5"/>
  <c r="BV22" i="5"/>
  <c r="BU48" i="5"/>
  <c r="BV48" i="5"/>
  <c r="G81" i="5"/>
  <c r="K81" i="5"/>
  <c r="H81" i="5"/>
  <c r="J81" i="5"/>
  <c r="BS81" i="5"/>
  <c r="BT81" i="5"/>
  <c r="BB111" i="5"/>
  <c r="BC111" i="5"/>
  <c r="AV111" i="5"/>
  <c r="I12" i="3"/>
  <c r="AW155" i="5"/>
  <c r="BA155" i="5"/>
  <c r="Y11" i="3"/>
  <c r="Z11" i="3"/>
  <c r="AB174" i="5"/>
  <c r="AC174" i="5"/>
  <c r="AC168" i="5"/>
  <c r="BV62" i="5"/>
  <c r="BU81" i="5"/>
  <c r="BV81" i="5"/>
  <c r="BA61" i="5"/>
  <c r="AW61" i="5"/>
  <c r="AS116" i="5"/>
  <c r="AV116" i="5"/>
  <c r="AW116" i="5"/>
  <c r="CF155" i="5"/>
  <c r="CG155" i="5"/>
  <c r="CC155" i="5"/>
  <c r="CD155" i="5"/>
  <c r="BM65" i="4"/>
  <c r="BQ65" i="4"/>
  <c r="CG107" i="5"/>
  <c r="CC107" i="5"/>
  <c r="CD107" i="5"/>
  <c r="CF193" i="5"/>
  <c r="CG193" i="5"/>
  <c r="AB81" i="5"/>
  <c r="AC81" i="5"/>
  <c r="AG81" i="5"/>
  <c r="AH81" i="5"/>
  <c r="CF7" i="5"/>
  <c r="CG7" i="5"/>
  <c r="CF20" i="5"/>
  <c r="CG20" i="5"/>
  <c r="CC20" i="5"/>
  <c r="CD20" i="5"/>
  <c r="CF216" i="5"/>
  <c r="CG216" i="5"/>
  <c r="CC216" i="5"/>
  <c r="CD216" i="5"/>
  <c r="CC95" i="5"/>
  <c r="CD95" i="5"/>
  <c r="CC23" i="5"/>
  <c r="CD23" i="5"/>
  <c r="CF23" i="5"/>
  <c r="CG23" i="5"/>
  <c r="AS176" i="4"/>
  <c r="AR255" i="4"/>
  <c r="AB11" i="2"/>
  <c r="AC11" i="2"/>
  <c r="AE11" i="2"/>
  <c r="AF11" i="2"/>
  <c r="AA5" i="3"/>
  <c r="AR48" i="5"/>
  <c r="AT48" i="5"/>
  <c r="AU48" i="5"/>
  <c r="AT10" i="5"/>
  <c r="AU10" i="5"/>
  <c r="AV165" i="5"/>
  <c r="BB165" i="5"/>
  <c r="J12" i="2"/>
  <c r="K12" i="2"/>
  <c r="F6" i="3"/>
  <c r="G12" i="2"/>
  <c r="H12" i="2"/>
  <c r="G5" i="3"/>
  <c r="H5" i="3"/>
  <c r="J5" i="3"/>
  <c r="K5" i="3"/>
  <c r="G158" i="5"/>
  <c r="H158" i="5"/>
  <c r="K158" i="5"/>
  <c r="J158" i="5"/>
  <c r="AW170" i="5"/>
  <c r="BA170" i="5"/>
  <c r="E253" i="5"/>
  <c r="BP253" i="5"/>
  <c r="BQ253" i="5"/>
  <c r="BB65" i="5"/>
  <c r="BC65" i="5"/>
  <c r="AV65" i="5"/>
  <c r="CF80" i="5"/>
  <c r="CG80" i="5"/>
  <c r="CC80" i="5"/>
  <c r="CD80" i="5"/>
  <c r="BC60" i="5"/>
  <c r="BB219" i="5"/>
  <c r="BC219" i="5"/>
  <c r="AT231" i="5"/>
  <c r="P9" i="3"/>
  <c r="Q9" i="3"/>
  <c r="S9" i="3"/>
  <c r="T9" i="3"/>
  <c r="AW221" i="5"/>
  <c r="BA221" i="5"/>
  <c r="AT6" i="3"/>
  <c r="AU6" i="3"/>
  <c r="AQ6" i="3"/>
  <c r="AR6" i="3"/>
  <c r="CG111" i="5"/>
  <c r="CC111" i="5"/>
  <c r="CD111" i="5"/>
  <c r="CG109" i="5"/>
  <c r="CC109" i="5"/>
  <c r="CD109" i="5"/>
  <c r="CF8" i="5"/>
  <c r="CG8" i="5"/>
  <c r="CC8" i="5"/>
  <c r="CD8" i="5"/>
  <c r="BQ243" i="4"/>
  <c r="BV239" i="5"/>
  <c r="CF31" i="5"/>
  <c r="CG31" i="5"/>
  <c r="CC31" i="5"/>
  <c r="CD31" i="5"/>
  <c r="CL200" i="4"/>
  <c r="CM200" i="4"/>
  <c r="CF255" i="4"/>
  <c r="CB196" i="5"/>
  <c r="AP16" i="2"/>
  <c r="CG200" i="4"/>
  <c r="CH200" i="4"/>
  <c r="CF28" i="5"/>
  <c r="CG28" i="5"/>
  <c r="CC28" i="5"/>
  <c r="CD28" i="5"/>
  <c r="CG101" i="5"/>
  <c r="CC101" i="5"/>
  <c r="CD101" i="5"/>
  <c r="F255" i="4"/>
  <c r="AV169" i="4"/>
  <c r="AS168" i="5"/>
  <c r="AT169" i="4"/>
  <c r="AU169" i="4"/>
  <c r="AW94" i="5"/>
  <c r="BA94" i="5"/>
  <c r="AW131" i="5"/>
  <c r="BA131" i="5"/>
  <c r="AV136" i="5"/>
  <c r="BB136" i="5"/>
  <c r="BC136" i="5"/>
  <c r="BM10" i="4"/>
  <c r="BQ10" i="4"/>
  <c r="AS10" i="5"/>
  <c r="AT10" i="4"/>
  <c r="AU10" i="4"/>
  <c r="AV10" i="4"/>
  <c r="AW10" i="4"/>
  <c r="AT83" i="5"/>
  <c r="AU83" i="5"/>
  <c r="AT81" i="5"/>
  <c r="AU81" i="5"/>
  <c r="AW69" i="5"/>
  <c r="BA69" i="5"/>
  <c r="AB12" i="3"/>
  <c r="AC12" i="3"/>
  <c r="BA16" i="5"/>
  <c r="AW16" i="5"/>
  <c r="AT5" i="3"/>
  <c r="AU5" i="3"/>
  <c r="AQ5" i="3"/>
  <c r="AR5" i="3"/>
  <c r="AT64" i="4"/>
  <c r="AU64" i="4"/>
  <c r="AV64" i="4"/>
  <c r="AW64" i="4"/>
  <c r="BM64" i="4"/>
  <c r="BQ64" i="4"/>
  <c r="AS63" i="5"/>
  <c r="S5" i="3"/>
  <c r="T5" i="3"/>
  <c r="V5" i="3"/>
  <c r="W5" i="3"/>
  <c r="CF229" i="5"/>
  <c r="CG229" i="5"/>
  <c r="CC229" i="5"/>
  <c r="CD229" i="5"/>
  <c r="CF157" i="5"/>
  <c r="CG157" i="5"/>
  <c r="CC157" i="5"/>
  <c r="CD157" i="5"/>
  <c r="Y231" i="5"/>
  <c r="V231" i="5"/>
  <c r="W231" i="5"/>
  <c r="AW75" i="5"/>
  <c r="BA75" i="5"/>
  <c r="CF206" i="5"/>
  <c r="CG206" i="5"/>
  <c r="CC206" i="5"/>
  <c r="CD206" i="5"/>
  <c r="CF212" i="5"/>
  <c r="CG212" i="5"/>
  <c r="CC212" i="5"/>
  <c r="CD212" i="5"/>
  <c r="CG103" i="5"/>
  <c r="CC103" i="5"/>
  <c r="CD103" i="5"/>
  <c r="CG110" i="5"/>
  <c r="CC110" i="5"/>
  <c r="CD110" i="5"/>
  <c r="CC140" i="5"/>
  <c r="CD140" i="5"/>
  <c r="CF224" i="5"/>
  <c r="CG224" i="5"/>
  <c r="CC224" i="5"/>
  <c r="CD224" i="5"/>
  <c r="CF192" i="5"/>
  <c r="CG192" i="5"/>
  <c r="CC192" i="5"/>
  <c r="CD192" i="5"/>
  <c r="AW214" i="5"/>
  <c r="BA214" i="5"/>
  <c r="BV214" i="5"/>
  <c r="BU231" i="5"/>
  <c r="BB193" i="5"/>
  <c r="BC193" i="5"/>
  <c r="BV196" i="5"/>
  <c r="BC92" i="5"/>
  <c r="AP253" i="5"/>
  <c r="BM116" i="5"/>
  <c r="BN116" i="5"/>
  <c r="AG116" i="5"/>
  <c r="AH116" i="5"/>
  <c r="BP116" i="5"/>
  <c r="BQ116" i="5"/>
  <c r="AV118" i="5"/>
  <c r="AW118" i="5"/>
  <c r="BB108" i="5"/>
  <c r="BC108" i="5"/>
  <c r="AV108" i="5"/>
  <c r="BB169" i="5"/>
  <c r="BC169" i="5"/>
  <c r="AV169" i="5"/>
  <c r="AW225" i="5"/>
  <c r="BA225" i="5"/>
  <c r="AD12" i="3"/>
  <c r="AE12" i="3"/>
  <c r="AF12" i="3"/>
  <c r="AE18" i="2"/>
  <c r="AF18" i="2"/>
  <c r="AS196" i="5"/>
  <c r="AV196" i="5"/>
  <c r="AW196" i="5"/>
  <c r="BB94" i="5"/>
  <c r="BC94" i="5"/>
  <c r="AS141" i="5"/>
  <c r="BA196" i="5"/>
  <c r="BB116" i="5"/>
  <c r="BF116" i="5"/>
  <c r="AW108" i="5"/>
  <c r="BA108" i="5"/>
  <c r="Z231" i="5"/>
  <c r="Y253" i="5"/>
  <c r="Z253" i="5"/>
  <c r="AV63" i="5"/>
  <c r="BB63" i="5"/>
  <c r="AS81" i="5"/>
  <c r="BB168" i="5"/>
  <c r="BC168" i="5"/>
  <c r="AV168" i="5"/>
  <c r="AB5" i="3"/>
  <c r="AC5" i="3"/>
  <c r="AE5" i="3"/>
  <c r="AF5" i="3"/>
  <c r="AV64" i="5"/>
  <c r="BB64" i="5"/>
  <c r="BC64" i="5"/>
  <c r="AW206" i="5"/>
  <c r="BA206" i="5"/>
  <c r="AZ142" i="5"/>
  <c r="AZ143" i="5"/>
  <c r="AZ144" i="5"/>
  <c r="AV143" i="5"/>
  <c r="AW143" i="5"/>
  <c r="AV141" i="5"/>
  <c r="AW141" i="5"/>
  <c r="BB196" i="5"/>
  <c r="AW99" i="5"/>
  <c r="BA99" i="5"/>
  <c r="BL174" i="5"/>
  <c r="BV174" i="5"/>
  <c r="M12" i="3"/>
  <c r="N12" i="3"/>
  <c r="BU253" i="5"/>
  <c r="BV253" i="5"/>
  <c r="BV231" i="5"/>
  <c r="AW136" i="5"/>
  <c r="BA136" i="5"/>
  <c r="BA141" i="5"/>
  <c r="CL255" i="4"/>
  <c r="CM255" i="4"/>
  <c r="AP18" i="2"/>
  <c r="CB253" i="5"/>
  <c r="CG255" i="4"/>
  <c r="CH255" i="4"/>
  <c r="BA228" i="5"/>
  <c r="BB228" i="5"/>
  <c r="BC228" i="5"/>
  <c r="G15" i="2"/>
  <c r="H15" i="2"/>
  <c r="F9" i="3"/>
  <c r="J15" i="2"/>
  <c r="K15" i="2"/>
  <c r="AS48" i="5"/>
  <c r="AV48" i="5"/>
  <c r="AW48" i="5"/>
  <c r="BB10" i="5"/>
  <c r="AV10" i="5"/>
  <c r="AV231" i="5"/>
  <c r="AW231" i="5"/>
  <c r="AW169" i="4"/>
  <c r="AV176" i="4"/>
  <c r="BB141" i="5"/>
  <c r="BC206" i="5"/>
  <c r="AW65" i="5"/>
  <c r="BA65" i="5"/>
  <c r="BB174" i="5"/>
  <c r="AW111" i="5"/>
  <c r="BA111" i="5"/>
  <c r="BA14" i="5"/>
  <c r="AW14" i="5"/>
  <c r="BK37" i="5"/>
  <c r="BK48" i="5"/>
  <c r="BK253" i="5"/>
  <c r="BC37" i="5"/>
  <c r="CG95" i="5"/>
  <c r="AE7" i="3"/>
  <c r="AF7" i="3"/>
  <c r="AH7" i="3"/>
  <c r="AI7" i="3"/>
  <c r="J6" i="3"/>
  <c r="K6" i="3"/>
  <c r="G6" i="3"/>
  <c r="H6" i="3"/>
  <c r="F18" i="2"/>
  <c r="G255" i="4"/>
  <c r="F253" i="5"/>
  <c r="H255" i="4"/>
  <c r="K255" i="4"/>
  <c r="J255" i="4"/>
  <c r="AR253" i="5"/>
  <c r="BA165" i="5"/>
  <c r="AW165" i="5"/>
  <c r="AS255" i="4"/>
  <c r="AG15" i="2"/>
  <c r="AT176" i="4"/>
  <c r="AV178" i="4"/>
  <c r="AW178" i="4"/>
  <c r="BM176" i="4"/>
  <c r="BQ176" i="4"/>
  <c r="AT176" i="5"/>
  <c r="AU176" i="5"/>
  <c r="AT174" i="5"/>
  <c r="AU174" i="5"/>
  <c r="BA37" i="5"/>
  <c r="AW37" i="5"/>
  <c r="BM172" i="5"/>
  <c r="BN172" i="5"/>
  <c r="BV172" i="5"/>
  <c r="BM174" i="5"/>
  <c r="BN174" i="5"/>
  <c r="AQ16" i="2"/>
  <c r="AR16" i="2"/>
  <c r="AP10" i="3"/>
  <c r="AT16" i="2"/>
  <c r="AU16" i="2"/>
  <c r="AB6" i="3"/>
  <c r="AC6" i="3"/>
  <c r="AE6" i="3"/>
  <c r="AF6" i="3"/>
  <c r="CF196" i="5"/>
  <c r="CG196" i="5"/>
  <c r="CC196" i="5"/>
  <c r="CD196" i="5"/>
  <c r="BA169" i="5"/>
  <c r="AW169" i="5"/>
  <c r="AT253" i="5"/>
  <c r="AU253" i="5"/>
  <c r="AU231" i="5"/>
  <c r="AH11" i="2"/>
  <c r="AI11" i="2"/>
  <c r="AK11" i="2"/>
  <c r="AL11" i="2"/>
  <c r="AG5" i="3"/>
  <c r="H174" i="5"/>
  <c r="G174" i="5"/>
  <c r="K174" i="5"/>
  <c r="J174" i="5"/>
  <c r="AS174" i="5"/>
  <c r="BC10" i="5"/>
  <c r="BB48" i="5"/>
  <c r="BF48" i="5"/>
  <c r="CC253" i="5"/>
  <c r="CD253" i="5"/>
  <c r="CF253" i="5"/>
  <c r="CG253" i="5"/>
  <c r="AZ83" i="5"/>
  <c r="AV81" i="5"/>
  <c r="AW81" i="5"/>
  <c r="AV83" i="5"/>
  <c r="AW83" i="5"/>
  <c r="AV176" i="5"/>
  <c r="AW176" i="5"/>
  <c r="AY175" i="5"/>
  <c r="AY176" i="5"/>
  <c r="AV174" i="5"/>
  <c r="AW174" i="5"/>
  <c r="BB231" i="5"/>
  <c r="AT18" i="2"/>
  <c r="AU18" i="2"/>
  <c r="AP12" i="3"/>
  <c r="AQ18" i="2"/>
  <c r="AR18" i="2"/>
  <c r="BC63" i="5"/>
  <c r="BB81" i="5"/>
  <c r="AT10" i="3"/>
  <c r="AU10" i="3"/>
  <c r="AQ10" i="3"/>
  <c r="AR10" i="3"/>
  <c r="BF141" i="5"/>
  <c r="BC141" i="5"/>
  <c r="AW63" i="5"/>
  <c r="BA63" i="5"/>
  <c r="AV255" i="4"/>
  <c r="AW255" i="4"/>
  <c r="AW176" i="4"/>
  <c r="G9" i="3"/>
  <c r="H9" i="3"/>
  <c r="J9" i="3"/>
  <c r="K9" i="3"/>
  <c r="AW64" i="5"/>
  <c r="BA64" i="5"/>
  <c r="BC196" i="5"/>
  <c r="BF196" i="5"/>
  <c r="BC174" i="5"/>
  <c r="BF174" i="5"/>
  <c r="AH5" i="3"/>
  <c r="AI5" i="3"/>
  <c r="AK5" i="3"/>
  <c r="AL5" i="3"/>
  <c r="AK15" i="2"/>
  <c r="AL15" i="2"/>
  <c r="AG9" i="3"/>
  <c r="AH15" i="2"/>
  <c r="AI15" i="2"/>
  <c r="G253" i="5"/>
  <c r="H253" i="5"/>
  <c r="J253" i="5"/>
  <c r="K253" i="5"/>
  <c r="AS253" i="5"/>
  <c r="AV253" i="5"/>
  <c r="AW253" i="5"/>
  <c r="AW168" i="5"/>
  <c r="BA168" i="5"/>
  <c r="BA174" i="5"/>
  <c r="G18" i="2"/>
  <c r="H18" i="2"/>
  <c r="F12" i="3"/>
  <c r="J18" i="2"/>
  <c r="K18" i="2"/>
  <c r="AU176" i="4"/>
  <c r="AT255" i="4"/>
  <c r="AG18" i="2"/>
  <c r="BL251" i="5"/>
  <c r="BM255" i="4"/>
  <c r="AW10" i="5"/>
  <c r="BA10" i="5"/>
  <c r="AG12" i="3"/>
  <c r="AH18" i="2"/>
  <c r="AI18" i="2"/>
  <c r="AK18" i="2"/>
  <c r="AL18" i="2"/>
  <c r="AU255" i="4"/>
  <c r="BM251" i="5"/>
  <c r="BN251" i="5"/>
  <c r="BM253" i="5"/>
  <c r="BN253" i="5"/>
  <c r="BF81" i="5"/>
  <c r="BC81" i="5"/>
  <c r="G12" i="3"/>
  <c r="H12" i="3"/>
  <c r="J12" i="3"/>
  <c r="K12" i="3"/>
  <c r="AQ12" i="3"/>
  <c r="AR12" i="3"/>
  <c r="AT12" i="3"/>
  <c r="AU12" i="3"/>
  <c r="BQ255" i="4"/>
  <c r="BV251" i="5"/>
  <c r="AH9" i="3"/>
  <c r="AI9" i="3"/>
  <c r="AK9" i="3"/>
  <c r="AL9" i="3"/>
  <c r="BF231" i="5"/>
  <c r="BC231" i="5"/>
  <c r="AH12" i="3"/>
  <c r="AI12" i="3"/>
  <c r="AK12" i="3"/>
  <c r="AL12" i="3"/>
</calcChain>
</file>

<file path=xl/comments1.xml><?xml version="1.0" encoding="utf-8"?>
<comments xmlns="http://schemas.openxmlformats.org/spreadsheetml/2006/main">
  <authors>
    <author>Jenny Reed</author>
    <author>Wes Rivers</author>
    <author>silverman</author>
    <author>Kate Coventry</author>
    <author>Ed Lazere</author>
    <author>Rivers</author>
    <author>fulton</author>
    <author>bhat</author>
    <author>coventry</author>
    <author>manganaris</author>
    <author>gajdeczka</author>
  </authors>
  <commentList>
    <comment ref="CI7" authorId="0" guid="{BD3ECB1D-4846-4C47-A3F9-7FA5D86548A8}" shapeId="0">
      <text>
        <r>
          <rPr>
            <b/>
            <sz val="9"/>
            <color indexed="81"/>
            <rFont val="Tahoma"/>
            <family val="2"/>
          </rPr>
          <t>Jenny Reed:</t>
        </r>
        <r>
          <rPr>
            <sz val="9"/>
            <color indexed="81"/>
            <rFont val="Tahoma"/>
            <family val="2"/>
          </rPr>
          <t xml:space="preserve">
kept $250k for emancipation day that was trasferred to Mayor
</t>
        </r>
      </text>
    </comment>
    <comment ref="CI10" authorId="1" guid="{3D599CD5-E4B1-4637-8E57-E9CF49F4CBF0}" shapeId="0">
      <text>
        <r>
          <rPr>
            <b/>
            <sz val="9"/>
            <color indexed="81"/>
            <rFont val="Tahoma"/>
            <family val="2"/>
          </rPr>
          <t>Wes Rivers:</t>
        </r>
        <r>
          <rPr>
            <sz val="9"/>
            <color indexed="81"/>
            <rFont val="Tahoma"/>
            <family val="2"/>
          </rPr>
          <t xml:space="preserve">
Shift of $375k to Office of the Secretary.  Same functions
</t>
        </r>
      </text>
    </comment>
    <comment ref="CI13" authorId="1" guid="{69BEEA9B-65BD-4EA5-B07B-5A2B4176D31F}" shapeId="0">
      <text>
        <r>
          <rPr>
            <b/>
            <sz val="9"/>
            <color indexed="81"/>
            <rFont val="Tahoma"/>
            <family val="2"/>
          </rPr>
          <t>Wes Rivers:</t>
        </r>
        <r>
          <rPr>
            <sz val="9"/>
            <color indexed="81"/>
            <rFont val="Tahoma"/>
            <family val="2"/>
          </rPr>
          <t xml:space="preserve">
Shift of $375k from Office of the Mayor.  Same functions
</t>
        </r>
      </text>
    </comment>
    <comment ref="BN21" authorId="0" guid="{8CE7AD4A-E301-47C8-94F8-7E3E84EF8B79}" shapeId="0">
      <text>
        <r>
          <rPr>
            <b/>
            <sz val="9"/>
            <color indexed="81"/>
            <rFont val="Tahoma"/>
            <family val="2"/>
          </rPr>
          <t>Jenny Reed:</t>
        </r>
        <r>
          <rPr>
            <sz val="9"/>
            <color indexed="81"/>
            <rFont val="Tahoma"/>
            <family val="2"/>
          </rPr>
          <t xml:space="preserve">
Removed $1.36 mil that had been shifted from DDOT
</t>
        </r>
      </text>
    </comment>
    <comment ref="BO21" authorId="2" guid="{5608F94B-FE10-4A6E-A8DF-121F32253FB2}" shapeId="0">
      <text>
        <r>
          <rPr>
            <b/>
            <sz val="9"/>
            <color indexed="81"/>
            <rFont val="Tahoma"/>
            <family val="2"/>
          </rPr>
          <t>silverman:</t>
        </r>
        <r>
          <rPr>
            <sz val="9"/>
            <color indexed="81"/>
            <rFont val="Tahoma"/>
            <family val="2"/>
          </rPr>
          <t xml:space="preserve">
Shift of $1.36 million from DDOT
</t>
        </r>
      </text>
    </comment>
    <comment ref="BX21" authorId="0" guid="{EF8770BC-7CA8-47FB-9340-4E34DA3B02EE}" shapeId="0">
      <text>
        <r>
          <rPr>
            <b/>
            <sz val="9"/>
            <color indexed="81"/>
            <rFont val="Tahoma"/>
            <family val="2"/>
          </rPr>
          <t>Jenny Reed:</t>
        </r>
        <r>
          <rPr>
            <sz val="9"/>
            <color indexed="81"/>
            <rFont val="Tahoma"/>
            <family val="2"/>
          </rPr>
          <t xml:space="preserve">
Removes $1.36 million in funds shifted from DDOT to OFRM in FY 13 for telecom services.
</t>
        </r>
      </text>
    </comment>
    <comment ref="CN23" authorId="3" guid="{500D02E2-1F06-451D-A6B4-9C03B6951793}" shapeId="0">
      <text>
        <r>
          <rPr>
            <b/>
            <sz val="9"/>
            <color indexed="81"/>
            <rFont val="Tahoma"/>
            <family val="2"/>
          </rPr>
          <t>Kate Coventry:</t>
        </r>
        <r>
          <rPr>
            <sz val="9"/>
            <color indexed="81"/>
            <rFont val="Tahoma"/>
            <family val="2"/>
          </rPr>
          <t xml:space="preserve">
Transfer of 2,177 and 490 from DDOT</t>
        </r>
      </text>
    </comment>
    <comment ref="BE25" authorId="0" guid="{9DA44E49-48C1-4182-824E-45B854AC0310}" shapeId="0">
      <text>
        <r>
          <rPr>
            <b/>
            <sz val="9"/>
            <color indexed="81"/>
            <rFont val="Tahoma"/>
            <family val="2"/>
          </rPr>
          <t>Jenny Reed:</t>
        </r>
        <r>
          <rPr>
            <sz val="9"/>
            <color indexed="81"/>
            <rFont val="Tahoma"/>
            <family val="2"/>
          </rPr>
          <t xml:space="preserve">
Removed $46,890 in public ed related funding to OPEFM line item in Edu appropriation title because prior to FY 2012 edu related facilities funding was located in OPEFM.  
</t>
        </r>
        <r>
          <rPr>
            <b/>
            <sz val="9"/>
            <color indexed="81"/>
            <rFont val="Tahoma"/>
            <family val="2"/>
          </rPr>
          <t>coventry:Also, removed $8,627 in Parks and Rec facilities funding that was in parks and rec budget prior to FY 2012.  Added to parks and rec budget.</t>
        </r>
        <r>
          <rPr>
            <sz val="9"/>
            <color indexed="81"/>
            <rFont val="Tahoma"/>
            <family val="2"/>
          </rPr>
          <t xml:space="preserve">
</t>
        </r>
      </text>
    </comment>
    <comment ref="BN25" authorId="4" guid="{30836105-6D9C-464D-944C-DB77C5F8DBC3}" shapeId="0">
      <text>
        <r>
          <rPr>
            <b/>
            <sz val="9"/>
            <color indexed="81"/>
            <rFont val="Tahoma"/>
            <family val="2"/>
          </rPr>
          <t>Ed Lazere:</t>
        </r>
        <r>
          <rPr>
            <sz val="9"/>
            <color indexed="81"/>
            <rFont val="Tahoma"/>
            <family val="2"/>
          </rPr>
          <t xml:space="preserve">
see Budget Shifts tab
</t>
        </r>
      </text>
    </comment>
    <comment ref="BX25" authorId="0" guid="{2677EF00-8676-46DF-988B-CA661B0F015F}" shapeId="0">
      <text>
        <r>
          <rPr>
            <b/>
            <sz val="9"/>
            <color indexed="81"/>
            <rFont val="Tahoma"/>
            <family val="2"/>
          </rPr>
          <t>Jenny Reed:</t>
        </r>
        <r>
          <rPr>
            <sz val="9"/>
            <color indexed="81"/>
            <rFont val="Tahoma"/>
            <family val="2"/>
          </rPr>
          <t xml:space="preserve">
Removed $48,713 in public edu related funds and shifted to OPEFM in Education appropriation title.  Also removed $9.794 in Parks and Rec Facilities funds from DGS budget and put in DPR budget
</t>
        </r>
      </text>
    </comment>
    <comment ref="CC25" authorId="5" guid="{BD297BD8-AA9C-4AF5-9AD0-EBB947912D30}" shapeId="0">
      <text>
        <r>
          <rPr>
            <b/>
            <sz val="9"/>
            <color indexed="81"/>
            <rFont val="Tahoma"/>
            <family val="2"/>
          </rPr>
          <t>Rivers:</t>
        </r>
        <r>
          <rPr>
            <sz val="9"/>
            <color indexed="81"/>
            <rFont val="Tahoma"/>
            <family val="2"/>
          </rPr>
          <t xml:space="preserve">
Removed 46347 in public edu related funds and shifted to OPEFM in Education appropriation  
</t>
        </r>
        <r>
          <rPr>
            <b/>
            <sz val="9"/>
            <color indexed="81"/>
            <rFont val="Tahoma"/>
            <family val="2"/>
          </rPr>
          <t>coventry:Also, removed $10,096 in Parks and Rec facilities funding that was in parks and rec budget prior to FY 2012.  Added to parks and rec budget</t>
        </r>
        <r>
          <rPr>
            <sz val="9"/>
            <color indexed="81"/>
            <rFont val="Tahoma"/>
            <family val="2"/>
          </rPr>
          <t xml:space="preserve">
</t>
        </r>
      </text>
    </comment>
    <comment ref="CD25" authorId="1" guid="{1935BC74-9551-4CE9-8617-CE877DEEB822}" shapeId="0">
      <text>
        <r>
          <rPr>
            <b/>
            <sz val="9"/>
            <color indexed="81"/>
            <rFont val="Tahoma"/>
            <family val="2"/>
          </rPr>
          <t>Wes Rivers:</t>
        </r>
        <r>
          <rPr>
            <sz val="9"/>
            <color indexed="81"/>
            <rFont val="Tahoma"/>
            <family val="2"/>
          </rPr>
          <t xml:space="preserve">
Removed 46347 in public edu related funds and shifted to OPEFM in Education appropriation  
coventry:Also, removed $10,096 in Parks and Rec facilities funding that was in parks and rec budget prior to FY 2012.  Added to parks and rec budget
Wes Rivers:
</t>
        </r>
        <r>
          <rPr>
            <b/>
            <sz val="9"/>
            <color indexed="81"/>
            <rFont val="Tahoma"/>
            <family val="2"/>
          </rPr>
          <t xml:space="preserve">coventry:
</t>
        </r>
        <r>
          <rPr>
            <sz val="9"/>
            <color indexed="81"/>
            <rFont val="Tahoma"/>
            <family val="2"/>
          </rPr>
          <t xml:space="preserve">
</t>
        </r>
      </text>
    </comment>
    <comment ref="CI25" authorId="0" guid="{D4639409-FDAE-41D7-AF96-0C29A499A4EB}" shapeId="0">
      <text>
        <r>
          <rPr>
            <b/>
            <sz val="9"/>
            <color indexed="81"/>
            <rFont val="Tahoma"/>
            <family val="2"/>
          </rPr>
          <t>Jenny Reed:</t>
        </r>
        <r>
          <rPr>
            <sz val="9"/>
            <color indexed="81"/>
            <rFont val="Tahoma"/>
            <family val="2"/>
          </rPr>
          <t xml:space="preserve">
Subtracts $16.9 million in funds shifted to DRP and $31.9 million in funds shifted to OPEFM
</t>
        </r>
        <r>
          <rPr>
            <b/>
            <sz val="9"/>
            <color indexed="81"/>
            <rFont val="Tahoma"/>
            <family val="2"/>
          </rPr>
          <t>Ed Lazere:DPR &amp;OPEFM are lines in the DGS budget</t>
        </r>
        <r>
          <rPr>
            <sz val="9"/>
            <color indexed="81"/>
            <rFont val="Tahoma"/>
            <family val="2"/>
          </rPr>
          <t xml:space="preserve">
</t>
        </r>
      </text>
    </comment>
    <comment ref="CN25" authorId="1" guid="{290A4408-232D-4EE5-BF8D-583D68172AD6}" shapeId="0">
      <text>
        <r>
          <rPr>
            <b/>
            <sz val="9"/>
            <color indexed="81"/>
            <rFont val="Tahoma"/>
            <family val="2"/>
          </rPr>
          <t>Wes Rivers:</t>
        </r>
        <r>
          <rPr>
            <sz val="9"/>
            <color indexed="81"/>
            <rFont val="Tahoma"/>
            <family val="2"/>
          </rPr>
          <t xml:space="preserve">
Ex out Parks and Education facilities (both line items, ask soumya for education)
</t>
        </r>
      </text>
    </comment>
    <comment ref="BN35" authorId="0" guid="{37F591D3-D1FF-4BD2-9ABA-F5485E094A86}" shapeId="0">
      <text>
        <r>
          <rPr>
            <b/>
            <sz val="9"/>
            <color indexed="81"/>
            <rFont val="Tahoma"/>
            <family val="2"/>
          </rPr>
          <t>Jenny Reed:</t>
        </r>
        <r>
          <rPr>
            <sz val="9"/>
            <color indexed="81"/>
            <rFont val="Tahoma"/>
            <family val="2"/>
          </rPr>
          <t xml:space="preserve">
Removed $2.2 million that had been shifted from DMV to OTR
</t>
        </r>
      </text>
    </comment>
    <comment ref="BO35" authorId="2" guid="{8F00B0D9-ED74-46D2-B40A-527412FFFB15}" shapeId="0">
      <text>
        <r>
          <rPr>
            <b/>
            <sz val="9"/>
            <color indexed="81"/>
            <rFont val="Tahoma"/>
            <family val="2"/>
          </rPr>
          <t>silverman:</t>
        </r>
        <r>
          <rPr>
            <sz val="9"/>
            <color indexed="81"/>
            <rFont val="Tahoma"/>
            <family val="2"/>
          </rPr>
          <t xml:space="preserve">
shift from DMV to OTR
</t>
        </r>
      </text>
    </comment>
    <comment ref="BX35" authorId="0" guid="{B3B5A962-1E3B-4AF2-8B88-87F4FDD0CE73}" shapeId="0">
      <text>
        <r>
          <rPr>
            <b/>
            <sz val="9"/>
            <color indexed="81"/>
            <rFont val="Tahoma"/>
            <family val="2"/>
          </rPr>
          <t>Jenny Reed:</t>
        </r>
        <r>
          <rPr>
            <sz val="9"/>
            <color indexed="81"/>
            <rFont val="Tahoma"/>
            <family val="2"/>
          </rPr>
          <t xml:space="preserve">
Removes $2,200 m that was shifted from DMV back into DMV.
</t>
        </r>
      </text>
    </comment>
    <comment ref="BE38" authorId="4" guid="{56395729-D19D-4076-99AA-946150A9A2C3}" shapeId="0">
      <text>
        <r>
          <rPr>
            <b/>
            <sz val="9"/>
            <color indexed="81"/>
            <rFont val="Tahoma"/>
            <family val="2"/>
          </rPr>
          <t>Ed Lazere:</t>
        </r>
        <r>
          <rPr>
            <sz val="9"/>
            <color indexed="81"/>
            <rFont val="Tahoma"/>
            <family val="2"/>
          </rPr>
          <t xml:space="preserve">
This was moved into Dep Mayor for Pub Sfety
</t>
        </r>
      </text>
    </comment>
    <comment ref="BE65" authorId="0" guid="{E60A4FBE-FE63-48FA-8AA6-D7C212D5B163}" shapeId="0">
      <text>
        <r>
          <rPr>
            <b/>
            <sz val="9"/>
            <color indexed="81"/>
            <rFont val="Tahoma"/>
            <family val="2"/>
          </rPr>
          <t>Jenny Reed:</t>
        </r>
        <r>
          <rPr>
            <sz val="9"/>
            <color indexed="81"/>
            <rFont val="Tahoma"/>
            <family val="2"/>
          </rPr>
          <t xml:space="preserve">
Budget sates only $4m.  Our figure higher bc/ This includes HPTF that was shifted to DCHA
</t>
        </r>
      </text>
    </comment>
    <comment ref="BE79" authorId="0" guid="{7BA4B2A0-8ABF-43A3-AB5C-F2471EBFAD92}" shapeId="0">
      <text>
        <r>
          <rPr>
            <b/>
            <sz val="9"/>
            <color indexed="81"/>
            <rFont val="Tahoma"/>
            <family val="2"/>
          </rPr>
          <t>Jenny Reed:</t>
        </r>
        <r>
          <rPr>
            <sz val="9"/>
            <color indexed="81"/>
            <rFont val="Tahoma"/>
            <family val="2"/>
          </rPr>
          <t xml:space="preserve">
This includes shift to DCHA, double check is most recent figures.
</t>
        </r>
      </text>
    </comment>
    <comment ref="BX79" authorId="0" guid="{CEFB1E23-B751-4B21-931B-C23601216DC4}" shapeId="0">
      <text>
        <r>
          <rPr>
            <b/>
            <sz val="9"/>
            <color indexed="81"/>
            <rFont val="Tahoma"/>
            <family val="2"/>
          </rPr>
          <t>Jenny Reed:</t>
        </r>
        <r>
          <rPr>
            <sz val="9"/>
            <color indexed="81"/>
            <rFont val="Tahoma"/>
            <family val="2"/>
          </rPr>
          <t xml:space="preserve">
assumes $19.969 m shift to DCHA
</t>
        </r>
      </text>
    </comment>
    <comment ref="BZ79" authorId="0" guid="{343787D2-CB0C-4603-85C7-1A0AFDCEB985}" shapeId="0">
      <text>
        <r>
          <rPr>
            <b/>
            <sz val="9"/>
            <color indexed="81"/>
            <rFont val="Tahoma"/>
            <family val="2"/>
          </rPr>
          <t>Jenny Reed:</t>
        </r>
        <r>
          <rPr>
            <sz val="9"/>
            <color indexed="81"/>
            <rFont val="Tahoma"/>
            <family val="2"/>
          </rPr>
          <t xml:space="preserve">
Assumes $19.969m shift to DCHA
</t>
        </r>
        <r>
          <rPr>
            <b/>
            <sz val="9"/>
            <color indexed="81"/>
            <rFont val="Tahoma"/>
            <family val="2"/>
          </rPr>
          <t>Jenny Reed:</t>
        </r>
        <r>
          <rPr>
            <sz val="9"/>
            <color indexed="81"/>
            <rFont val="Tahoma"/>
            <family val="2"/>
          </rPr>
          <t xml:space="preserve">
Adds $66.9m in one-time supplemental funds</t>
        </r>
      </text>
    </comment>
    <comment ref="BN93" authorId="4" guid="{9766B2C6-1042-4AD1-88DD-0B0891CAA6FA}" shapeId="0">
      <text>
        <r>
          <rPr>
            <b/>
            <sz val="9"/>
            <color indexed="81"/>
            <rFont val="Tahoma"/>
            <family val="2"/>
          </rPr>
          <t>Ed Lazere:</t>
        </r>
        <r>
          <rPr>
            <sz val="9"/>
            <color indexed="81"/>
            <rFont val="Tahoma"/>
            <family val="2"/>
          </rPr>
          <t xml:space="preserve">
see Budget Shifts tab
</t>
        </r>
      </text>
    </comment>
    <comment ref="CC93" authorId="0" guid="{5B7B6B8D-6E99-48D1-A873-B7A47FCB3AFA}" shapeId="0">
      <text>
        <r>
          <rPr>
            <b/>
            <sz val="9"/>
            <color indexed="81"/>
            <rFont val="Tahoma"/>
            <family val="2"/>
          </rPr>
          <t>Jenny Reed:</t>
        </r>
        <r>
          <rPr>
            <sz val="9"/>
            <color indexed="81"/>
            <rFont val="Tahoma"/>
            <family val="2"/>
          </rPr>
          <t xml:space="preserve">
If comparing to years before FY 2013, see: DC Budget folder, FY 2013, Toolkit, 'FY 2013 Changes to Spreadsheet" file 
</t>
        </r>
      </text>
    </comment>
    <comment ref="BN108" authorId="4" guid="{4DA67149-E7C8-41B8-85DF-905D775B1542}" shapeId="0">
      <text>
        <r>
          <rPr>
            <b/>
            <sz val="9"/>
            <color indexed="81"/>
            <rFont val="Tahoma"/>
            <family val="2"/>
          </rPr>
          <t>Ed Lazere:</t>
        </r>
        <r>
          <rPr>
            <sz val="9"/>
            <color indexed="81"/>
            <rFont val="Tahoma"/>
            <family val="2"/>
          </rPr>
          <t xml:space="preserve">
see Budget Shifts tab
</t>
        </r>
      </text>
    </comment>
    <comment ref="BB110" authorId="6" guid="{D0590C21-3462-4732-B20E-55BCD230D90E}" shapeId="0">
      <text>
        <r>
          <rPr>
            <b/>
            <sz val="9"/>
            <color indexed="81"/>
            <rFont val="Tahoma"/>
            <family val="2"/>
          </rPr>
          <t>fulton:</t>
        </r>
        <r>
          <rPr>
            <sz val="9"/>
            <color indexed="81"/>
            <rFont val="Tahoma"/>
            <family val="2"/>
          </rPr>
          <t xml:space="preserve">
Need to check for 2011 Actual if comparing to past numbers
</t>
        </r>
      </text>
    </comment>
    <comment ref="BE110" authorId="0" guid="{3232ADB9-CDFD-4B5C-B822-255080589B37}" shapeId="0">
      <text>
        <r>
          <rPr>
            <b/>
            <sz val="9"/>
            <color indexed="81"/>
            <rFont val="Tahoma"/>
            <family val="2"/>
          </rPr>
          <t>Jenny Reed:</t>
        </r>
        <r>
          <rPr>
            <sz val="9"/>
            <color indexed="81"/>
            <rFont val="Tahoma"/>
            <family val="2"/>
          </rPr>
          <t xml:space="preserve">
JR will follow up on this
</t>
        </r>
      </text>
    </comment>
    <comment ref="BX115" authorId="0" guid="{35F49E7D-076E-4428-AE26-FF59022E1066}" shapeId="0">
      <text>
        <r>
          <rPr>
            <b/>
            <sz val="9"/>
            <color indexed="81"/>
            <rFont val="Tahoma"/>
            <family val="2"/>
          </rPr>
          <t>Jenny Reed:</t>
        </r>
        <r>
          <rPr>
            <sz val="9"/>
            <color indexed="81"/>
            <rFont val="Tahoma"/>
            <family val="2"/>
          </rPr>
          <t xml:space="preserve">
See FY 2013 Changes to Spreadsheet Figures file in FY 2013 Budget toolkit folder for notes on this agency and when making comparisons involving DOH or MPD from 08-14
</t>
        </r>
      </text>
    </comment>
    <comment ref="AX129" authorId="0" guid="{0EC0C787-BE08-484C-AE25-F50DF4E3396E}" shapeId="0">
      <text>
        <r>
          <rPr>
            <b/>
            <sz val="9"/>
            <color indexed="81"/>
            <rFont val="Tahoma"/>
            <family val="2"/>
          </rPr>
          <t>Jenny Reed:</t>
        </r>
        <r>
          <rPr>
            <sz val="9"/>
            <color indexed="81"/>
            <rFont val="Tahoma"/>
            <family val="2"/>
          </rPr>
          <t xml:space="preserve">
Added $11 million to account for stimulus money lost in FY 2012
</t>
        </r>
      </text>
    </comment>
    <comment ref="BY129" authorId="7" guid="{0952EB6A-6256-4EA1-8DA7-83DBDF0818FC}" shapeId="0">
      <text>
        <r>
          <rPr>
            <b/>
            <sz val="9"/>
            <color indexed="81"/>
            <rFont val="Tahoma"/>
            <family val="2"/>
          </rPr>
          <t>bhat:</t>
        </r>
        <r>
          <rPr>
            <sz val="9"/>
            <color indexed="81"/>
            <rFont val="Tahoma"/>
            <family val="2"/>
          </rPr>
          <t xml:space="preserve">
Includes $2 million in summer school funds approved in May 2013</t>
        </r>
      </text>
    </comment>
    <comment ref="AX132" authorId="0" guid="{AD4220BB-1515-451B-B366-1A6BA0FABA8D}" shapeId="0">
      <text>
        <r>
          <rPr>
            <b/>
            <sz val="9"/>
            <color indexed="81"/>
            <rFont val="Tahoma"/>
            <family val="2"/>
          </rPr>
          <t>Jenny Reed:</t>
        </r>
        <r>
          <rPr>
            <sz val="9"/>
            <color indexed="81"/>
            <rFont val="Tahoma"/>
            <family val="2"/>
          </rPr>
          <t xml:space="preserve">
Added $7m to account for loss of stimulus money in FY 2012
</t>
        </r>
      </text>
    </comment>
    <comment ref="BY132" authorId="7" guid="{E1946CD9-4D55-4E3A-A11F-2E3752622996}" shapeId="0">
      <text>
        <r>
          <rPr>
            <b/>
            <sz val="9"/>
            <color indexed="81"/>
            <rFont val="Tahoma"/>
            <family val="2"/>
          </rPr>
          <t>bhat:</t>
        </r>
        <r>
          <rPr>
            <sz val="9"/>
            <color indexed="81"/>
            <rFont val="Tahoma"/>
            <family val="2"/>
          </rPr>
          <t xml:space="preserve">
$2 million in summer school funds approved in May 2013</t>
        </r>
      </text>
    </comment>
    <comment ref="BE137" authorId="4" guid="{5CFE9FFC-4C40-4820-9977-FB99510C2557}" shapeId="0">
      <text>
        <r>
          <rPr>
            <b/>
            <sz val="9"/>
            <color indexed="81"/>
            <rFont val="Tahoma"/>
            <family val="2"/>
          </rPr>
          <t>Ed Lazere:</t>
        </r>
        <r>
          <rPr>
            <sz val="9"/>
            <color indexed="81"/>
            <rFont val="Tahoma"/>
            <family val="2"/>
          </rPr>
          <t xml:space="preserve">
see Budget Shifts tab
</t>
        </r>
        <r>
          <rPr>
            <b/>
            <sz val="9"/>
            <color indexed="81"/>
            <rFont val="Tahoma"/>
            <family val="2"/>
          </rPr>
          <t>Jenny Reed:</t>
        </r>
        <r>
          <rPr>
            <sz val="9"/>
            <color indexed="81"/>
            <rFont val="Tahoma"/>
            <family val="2"/>
          </rPr>
          <t xml:space="preserve">
Added $46,890 of costs from DGS public education line items.  OPEFM used to be its own line item until FY 2012 when it was shifted to DGS.  
</t>
        </r>
      </text>
    </comment>
    <comment ref="BN137" authorId="4" guid="{1B389F4A-E51B-4127-B0C6-E8BC33420A82}" shapeId="0">
      <text>
        <r>
          <rPr>
            <b/>
            <sz val="9"/>
            <color indexed="81"/>
            <rFont val="Tahoma"/>
            <family val="2"/>
          </rPr>
          <t>Ed Lazere:</t>
        </r>
        <r>
          <rPr>
            <sz val="9"/>
            <color indexed="81"/>
            <rFont val="Tahoma"/>
            <family val="2"/>
          </rPr>
          <t xml:space="preserve">
See Budget Shifts tab
</t>
        </r>
      </text>
    </comment>
    <comment ref="BX137" authorId="0" guid="{8C4B50C8-6815-48CE-A521-7003CD320BA9}" shapeId="0">
      <text>
        <r>
          <rPr>
            <b/>
            <sz val="9"/>
            <color indexed="81"/>
            <rFont val="Tahoma"/>
            <family val="2"/>
          </rPr>
          <t>Jenny Reed:</t>
        </r>
        <r>
          <rPr>
            <sz val="9"/>
            <color indexed="81"/>
            <rFont val="Tahoma"/>
            <family val="2"/>
          </rPr>
          <t xml:space="preserve">
Used to be own line item until FY 2012.  Backed out $48,713 from DGS (all public ed line items)
</t>
        </r>
        <r>
          <rPr>
            <b/>
            <sz val="9"/>
            <color indexed="81"/>
            <rFont val="Tahoma"/>
            <family val="2"/>
          </rPr>
          <t>bhat:</t>
        </r>
        <r>
          <rPr>
            <sz val="9"/>
            <color indexed="81"/>
            <rFont val="Tahoma"/>
            <family val="2"/>
          </rPr>
          <t xml:space="preserve">
Changed number to reflect new Actual 2011 from DGS: $42,701
</t>
        </r>
      </text>
    </comment>
    <comment ref="BZ137" authorId="7" guid="{35BEEE2C-B916-4E21-AE8C-D6BEC1727B7D}" shapeId="0">
      <text>
        <r>
          <rPr>
            <b/>
            <sz val="9"/>
            <color indexed="81"/>
            <rFont val="Tahoma"/>
            <family val="2"/>
          </rPr>
          <t>bhat:</t>
        </r>
        <r>
          <rPr>
            <sz val="9"/>
            <color indexed="81"/>
            <rFont val="Tahoma"/>
            <family val="2"/>
          </rPr>
          <t xml:space="preserve">
This number comes from Line 3009 of DGS budget; Facilities - Public Education. It was also backed out of DGS budget.
</t>
        </r>
      </text>
    </comment>
    <comment ref="CI137" authorId="7" guid="{160A2082-3243-4901-B550-AC2D17661EB5}" shapeId="0">
      <text>
        <r>
          <rPr>
            <b/>
            <sz val="9"/>
            <color indexed="81"/>
            <rFont val="Tahoma"/>
            <family val="2"/>
          </rPr>
          <t>bhat:</t>
        </r>
        <r>
          <rPr>
            <sz val="9"/>
            <color indexed="81"/>
            <rFont val="Tahoma"/>
            <family val="2"/>
          </rPr>
          <t xml:space="preserve">
This amount comes from line 3009 of DGS budget. It was also backed out of DGS budget.
</t>
        </r>
      </text>
    </comment>
    <comment ref="CN137" authorId="7" guid="{162FB28E-7500-4C69-A017-915A76FE58D6}" shapeId="0">
      <text>
        <r>
          <rPr>
            <b/>
            <sz val="9"/>
            <color indexed="81"/>
            <rFont val="Tahoma"/>
            <family val="2"/>
          </rPr>
          <t>bhat:</t>
        </r>
        <r>
          <rPr>
            <sz val="9"/>
            <color indexed="81"/>
            <rFont val="Tahoma"/>
            <family val="2"/>
          </rPr>
          <t xml:space="preserve">
This number is backed out of DGS budget, Public Educ Facilities line item.
</t>
        </r>
      </text>
    </comment>
    <comment ref="AP142" authorId="0" guid="{F9261971-AB69-487F-8FD4-90BF5454AED2}" shapeId="0">
      <text>
        <r>
          <rPr>
            <b/>
            <sz val="9"/>
            <color indexed="81"/>
            <rFont val="Tahoma"/>
            <family val="2"/>
          </rPr>
          <t>Jenny Reed:</t>
        </r>
        <r>
          <rPr>
            <sz val="9"/>
            <color indexed="81"/>
            <rFont val="Tahoma"/>
            <family val="2"/>
          </rPr>
          <t xml:space="preserve">
Note: Many agencies were excepted from the fixed cost shift in FY 2011 (ones with MOE matches).  
</t>
        </r>
      </text>
    </comment>
    <comment ref="AX155" authorId="0" guid="{A6227F37-02A4-4AB1-85FB-C49E8EB0F5C2}" shapeId="0">
      <text>
        <r>
          <rPr>
            <b/>
            <sz val="9"/>
            <color indexed="81"/>
            <rFont val="Tahoma"/>
            <family val="2"/>
          </rPr>
          <t>Jenny Reed:</t>
        </r>
        <r>
          <rPr>
            <sz val="9"/>
            <color indexed="81"/>
            <rFont val="Tahoma"/>
            <family val="2"/>
          </rPr>
          <t xml:space="preserve">
Added $14 million to account for loss of stimulus money in FY 2012
</t>
        </r>
      </text>
    </comment>
    <comment ref="CI155" authorId="0" guid="{C2F7DEF4-6896-4D03-A94B-F8FB212DE2CB}" shapeId="0">
      <text>
        <r>
          <rPr>
            <b/>
            <sz val="9"/>
            <color indexed="81"/>
            <rFont val="Tahoma"/>
            <family val="2"/>
          </rPr>
          <t>Jenny Reed:</t>
        </r>
        <r>
          <rPr>
            <sz val="9"/>
            <color indexed="81"/>
            <rFont val="Tahoma"/>
            <family val="2"/>
          </rPr>
          <t xml:space="preserve">
Removes $1m that was transferred from DMMHS to DHS for truancy initiative
</t>
        </r>
      </text>
    </comment>
    <comment ref="BX157" authorId="0" guid="{5CCC3FD3-BFC8-49BE-B3A0-6E342A16AD9A}" shapeId="0">
      <text>
        <r>
          <rPr>
            <b/>
            <sz val="9"/>
            <color indexed="81"/>
            <rFont val="Tahoma"/>
            <family val="2"/>
          </rPr>
          <t>Jenny Reed:</t>
        </r>
        <r>
          <rPr>
            <sz val="9"/>
            <color indexed="81"/>
            <rFont val="Tahoma"/>
            <family val="2"/>
          </rPr>
          <t xml:space="preserve">
In FY 2014, APRA was transferred from DOH to DMH.  Spreadsheet subtracts APRA funds from DOH and adds them to DMH from FY 2006-FY2013.
</t>
        </r>
      </text>
    </comment>
    <comment ref="CI158" authorId="0" guid="{A7134092-18C9-4EB0-B630-DA6B8BC2F10B}" shapeId="0">
      <text>
        <r>
          <rPr>
            <b/>
            <sz val="9"/>
            <color indexed="81"/>
            <rFont val="Tahoma"/>
            <family val="2"/>
          </rPr>
          <t>Jenny Reed:</t>
        </r>
        <r>
          <rPr>
            <sz val="9"/>
            <color indexed="81"/>
            <rFont val="Tahoma"/>
            <family val="2"/>
          </rPr>
          <t xml:space="preserve">
$1 million that would have been shifted from DMHHS to DHS kept in DMHHS for comparison purposes</t>
        </r>
      </text>
    </comment>
    <comment ref="BN159" authorId="4" guid="{4337B245-3C4C-465D-87B2-F5B32F259DE1}" shapeId="0">
      <text>
        <r>
          <rPr>
            <b/>
            <sz val="9"/>
            <color indexed="81"/>
            <rFont val="Tahoma"/>
            <family val="2"/>
          </rPr>
          <t>Ed Lazere:</t>
        </r>
        <r>
          <rPr>
            <sz val="9"/>
            <color indexed="81"/>
            <rFont val="Tahoma"/>
            <family val="2"/>
          </rPr>
          <t xml:space="preserve">
See Budget Shifts tab
</t>
        </r>
      </text>
    </comment>
    <comment ref="BX159" authorId="0" guid="{7BD14669-BA94-4330-A4B5-E7E2753EC2C9}" shapeId="0">
      <text>
        <r>
          <rPr>
            <b/>
            <sz val="9"/>
            <color indexed="81"/>
            <rFont val="Tahoma"/>
            <family val="2"/>
          </rPr>
          <t>Jenny Reed:</t>
        </r>
        <r>
          <rPr>
            <sz val="9"/>
            <color indexed="81"/>
            <rFont val="Tahoma"/>
            <family val="2"/>
          </rPr>
          <t xml:space="preserve">
In FY 2014, APRA was transferred from DOH to DMH.  Spreadsheet subtracts APRA funds from DOH and adds them to DMH from FY 2006-FY2013.
</t>
        </r>
      </text>
    </comment>
    <comment ref="CC159" authorId="0" guid="{9D703B53-AC2D-4521-AAB2-04232D49EABE}" shapeId="0">
      <text>
        <r>
          <rPr>
            <b/>
            <sz val="9"/>
            <color indexed="81"/>
            <rFont val="Tahoma"/>
            <family val="2"/>
          </rPr>
          <t>Jenny Reed:</t>
        </r>
        <r>
          <rPr>
            <sz val="9"/>
            <color indexed="81"/>
            <rFont val="Tahoma"/>
            <family val="2"/>
          </rPr>
          <t xml:space="preserve">
If comparing to years before FY 2013, see: DC Budget folder, FY 2013, Toolkit, 'FY 2013 Changes to Spreadsheet" file 
</t>
        </r>
      </text>
    </comment>
    <comment ref="CD159" authorId="8" guid="{629592DB-2D9D-4D4C-8E33-2A5B46BE5909}" shapeId="0">
      <text>
        <r>
          <rPr>
            <b/>
            <sz val="9"/>
            <color indexed="81"/>
            <rFont val="Tahoma"/>
            <family val="2"/>
          </rPr>
          <t>coventry:</t>
        </r>
        <r>
          <rPr>
            <sz val="9"/>
            <color indexed="81"/>
            <rFont val="Tahoma"/>
            <family val="2"/>
          </rPr>
          <t xml:space="preserve">
If comparing to years before FY 2013, see: DC Budget folder, FY 2013, Toolkit, 'FY 2013 Changes to Spreadsheet" file </t>
        </r>
      </text>
    </comment>
    <comment ref="BE160" authorId="0" guid="{3AF37DB4-594C-4A94-A52F-4DF54AEF9813}" shapeId="0">
      <text>
        <r>
          <rPr>
            <b/>
            <sz val="9"/>
            <color indexed="81"/>
            <rFont val="Tahoma"/>
            <family val="2"/>
          </rPr>
          <t>Jenny Reed:</t>
        </r>
        <r>
          <rPr>
            <sz val="9"/>
            <color indexed="81"/>
            <rFont val="Tahoma"/>
            <family val="2"/>
          </rPr>
          <t xml:space="preserve">
Added in $8,627 m of funds that were shifted to DGS for facilities starting in FY 2012.  Removed same amount from DGS budget
</t>
        </r>
        <r>
          <rPr>
            <b/>
            <sz val="9"/>
            <color indexed="81"/>
            <rFont val="Tahoma"/>
            <family val="2"/>
          </rPr>
          <t>coventry:</t>
        </r>
        <r>
          <rPr>
            <sz val="9"/>
            <color indexed="81"/>
            <rFont val="Tahoma"/>
            <family val="2"/>
          </rPr>
          <t xml:space="preserve">
</t>
        </r>
      </text>
    </comment>
    <comment ref="BN160" authorId="4" guid="{EF1D0F96-DB0D-453B-86EA-97BC695A7564}" shapeId="0">
      <text>
        <r>
          <rPr>
            <b/>
            <sz val="9"/>
            <color indexed="81"/>
            <rFont val="Tahoma"/>
            <family val="2"/>
          </rPr>
          <t>Ed Lazere:</t>
        </r>
        <r>
          <rPr>
            <sz val="9"/>
            <color indexed="81"/>
            <rFont val="Tahoma"/>
            <family val="2"/>
          </rPr>
          <t xml:space="preserve">
see Budget Shifts tab
</t>
        </r>
      </text>
    </comment>
    <comment ref="BX160" authorId="0" guid="{7BC133E8-D576-4F8A-BFFD-15404A8D8BB7}" shapeId="0">
      <text>
        <r>
          <rPr>
            <b/>
            <sz val="9"/>
            <color indexed="81"/>
            <rFont val="Tahoma"/>
            <family val="2"/>
          </rPr>
          <t>Jenny Reed:</t>
        </r>
        <r>
          <rPr>
            <sz val="9"/>
            <color indexed="81"/>
            <rFont val="Tahoma"/>
            <family val="2"/>
          </rPr>
          <t xml:space="preserve">
Includes $9,974 m in funds that were shifted from DPR starting in FY 2012 and put into DGS.  Backs out same amount from DGS budget
</t>
        </r>
      </text>
    </comment>
    <comment ref="CC160" authorId="8" guid="{FA06B1B3-BDBE-4B2D-90D8-D6A688AA723D}" shapeId="0">
      <text>
        <r>
          <rPr>
            <b/>
            <sz val="9"/>
            <color indexed="81"/>
            <rFont val="Tahoma"/>
            <family val="2"/>
          </rPr>
          <t>coventry:</t>
        </r>
        <r>
          <rPr>
            <sz val="9"/>
            <color indexed="81"/>
            <rFont val="Tahoma"/>
            <family val="2"/>
          </rPr>
          <t xml:space="preserve">
Includes $10,096 m in funds that were shifted from DPR starting in FY 2012 and put into DGS.  Backs out same amount from DGS budget
</t>
        </r>
      </text>
    </comment>
    <comment ref="CD160" authorId="8" guid="{CE3C608C-243E-4B8A-B8E2-90C35D87F09A}" shapeId="0">
      <text>
        <r>
          <rPr>
            <b/>
            <sz val="9"/>
            <color indexed="81"/>
            <rFont val="Tahoma"/>
            <family val="2"/>
          </rPr>
          <t>coventry:</t>
        </r>
        <r>
          <rPr>
            <sz val="9"/>
            <color indexed="81"/>
            <rFont val="Tahoma"/>
            <family val="2"/>
          </rPr>
          <t xml:space="preserve">
Includes $10,096 m in funds that were shifted from DPR starting in FY 2012 and put into DGS.  Backs out same amount from DGS budget.</t>
        </r>
      </text>
    </comment>
    <comment ref="CI160" authorId="0" guid="{DB747FFD-921B-4060-AD1E-AFEBD8583C8C}" shapeId="0">
      <text>
        <r>
          <rPr>
            <b/>
            <sz val="9"/>
            <color indexed="81"/>
            <rFont val="Tahoma"/>
            <family val="2"/>
          </rPr>
          <t>Jenny Reed:</t>
        </r>
        <r>
          <rPr>
            <sz val="9"/>
            <color indexed="81"/>
            <rFont val="Tahoma"/>
            <family val="2"/>
          </rPr>
          <t xml:space="preserve">
Includes $16.9 million shifted from DGS.
</t>
        </r>
      </text>
    </comment>
    <comment ref="CN160" authorId="4" guid="{AD876C3C-7B4E-460B-A865-117A875123AE}" shapeId="0">
      <text>
        <r>
          <rPr>
            <b/>
            <sz val="9"/>
            <color indexed="81"/>
            <rFont val="Tahoma"/>
            <charset val="1"/>
          </rPr>
          <t>Ed Lazere:</t>
        </r>
        <r>
          <rPr>
            <sz val="9"/>
            <color indexed="81"/>
            <rFont val="Tahoma"/>
            <charset val="1"/>
          </rPr>
          <t xml:space="preserve">
adds $17,599 from DGS
</t>
        </r>
      </text>
    </comment>
    <comment ref="CI171" authorId="0" guid="{AD9A36DF-3F14-44F1-8D95-D6867F7C8B4E}" shapeId="0">
      <text>
        <r>
          <rPr>
            <b/>
            <sz val="9"/>
            <color indexed="81"/>
            <rFont val="Tahoma"/>
            <family val="2"/>
          </rPr>
          <t>Jenny Reed:</t>
        </r>
        <r>
          <rPr>
            <sz val="9"/>
            <color indexed="81"/>
            <rFont val="Tahoma"/>
            <family val="2"/>
          </rPr>
          <t xml:space="preserve">
Keeps transfer of ID/DD waiver in DHCF</t>
        </r>
      </text>
    </comment>
    <comment ref="AX172" authorId="0" guid="{CE78A2D9-CD01-4E3A-9567-763E1136D0DA}" shapeId="0">
      <text>
        <r>
          <rPr>
            <b/>
            <sz val="9"/>
            <color indexed="81"/>
            <rFont val="Tahoma"/>
            <family val="2"/>
          </rPr>
          <t>Jenny Reed:</t>
        </r>
        <r>
          <rPr>
            <sz val="9"/>
            <color indexed="81"/>
            <rFont val="Tahoma"/>
            <family val="2"/>
          </rPr>
          <t xml:space="preserve">
Added $80.7 m to account for stimulus
</t>
        </r>
      </text>
    </comment>
    <comment ref="CI172" authorId="1" guid="{AFA588D5-022F-4345-A9ED-8FF074C83869}" shapeId="0">
      <text>
        <r>
          <rPr>
            <b/>
            <sz val="9"/>
            <color indexed="81"/>
            <rFont val="Tahoma"/>
            <family val="2"/>
          </rPr>
          <t>Wes Rivers:</t>
        </r>
        <r>
          <rPr>
            <sz val="9"/>
            <color indexed="81"/>
            <rFont val="Tahoma"/>
            <family val="2"/>
          </rPr>
          <t xml:space="preserve">
Transfer of the local portion of ID/DD Waiver program to the Department of Disability Services. Federal funds remain in DHCF so we decided to add back to DHCF from 2015 going forward. 
</t>
        </r>
      </text>
    </comment>
    <comment ref="BN192" authorId="0" guid="{8E023590-CEFB-4EA7-BA2B-D6FD002DDC65}" shapeId="0">
      <text>
        <r>
          <rPr>
            <b/>
            <sz val="9"/>
            <color indexed="81"/>
            <rFont val="Tahoma"/>
            <family val="2"/>
          </rPr>
          <t>Jenny Reed:</t>
        </r>
        <r>
          <rPr>
            <sz val="9"/>
            <color indexed="81"/>
            <rFont val="Tahoma"/>
            <family val="2"/>
          </rPr>
          <t xml:space="preserve">
Approx. $50.6m transferred to WMATA in FY 2013, previously included in DDOT's budget
</t>
        </r>
      </text>
    </comment>
    <comment ref="BX192" authorId="0" guid="{37416A31-DDF5-4ABE-B8CD-3E604963C4D5}" shapeId="0">
      <text>
        <r>
          <rPr>
            <b/>
            <sz val="9"/>
            <color indexed="81"/>
            <rFont val="Tahoma"/>
            <family val="2"/>
          </rPr>
          <t>Jenny Reed:</t>
        </r>
        <r>
          <rPr>
            <sz val="9"/>
            <color indexed="81"/>
            <rFont val="Tahoma"/>
            <family val="2"/>
          </rPr>
          <t xml:space="preserve">
Includes $50.6 million in funds shifted to WMATA in FY 2013.  Also includes $1.36 million in funds shifted to OFRM for telecom services.  Corresponding amounts were removed from WMATA and OFRM.
</t>
        </r>
        <r>
          <rPr>
            <b/>
            <sz val="9"/>
            <color indexed="81"/>
            <rFont val="Tahoma"/>
            <family val="2"/>
          </rPr>
          <t>manganaris:</t>
        </r>
        <r>
          <rPr>
            <sz val="9"/>
            <color indexed="81"/>
            <rFont val="Tahoma"/>
            <family val="2"/>
          </rPr>
          <t xml:space="preserve">
The 50.6 mil shift was taken out. However if comparing years other than 2013&amp;14 the shifts need to be put back in</t>
        </r>
      </text>
    </comment>
    <comment ref="CC192" authorId="9" guid="{901C4C40-CFBB-4EAA-8B14-55813DFEB53C}" shapeId="0">
      <text>
        <r>
          <rPr>
            <b/>
            <sz val="9"/>
            <color indexed="81"/>
            <rFont val="Tahoma"/>
            <family val="2"/>
          </rPr>
          <t>manganaris:</t>
        </r>
        <r>
          <rPr>
            <sz val="9"/>
            <color indexed="81"/>
            <rFont val="Tahoma"/>
            <family val="2"/>
          </rPr>
          <t xml:space="preserve">
Does include 10.58 mil shift to WMATA. If comparing years past 2013 shift needs to be taken out of WMATA and put back to DDOT</t>
        </r>
      </text>
    </comment>
    <comment ref="CI192" authorId="0" guid="{22324812-4789-4E48-BA06-F2ECB3926C02}" shapeId="0">
      <text>
        <r>
          <rPr>
            <b/>
            <sz val="9"/>
            <color indexed="81"/>
            <rFont val="Tahoma"/>
            <family val="2"/>
          </rPr>
          <t>Jenny Reed:</t>
        </r>
        <r>
          <rPr>
            <sz val="9"/>
            <color indexed="81"/>
            <rFont val="Tahoma"/>
            <family val="2"/>
          </rPr>
          <t xml:space="preserve">
Adds back funding shifted from DDOT to WMATA for Kids Ride Free and Circulator services</t>
        </r>
      </text>
    </comment>
    <comment ref="CN192" authorId="3" guid="{2165D81A-EABB-46B6-8285-561A2CFD1624}" shapeId="0">
      <text>
        <r>
          <rPr>
            <b/>
            <sz val="9"/>
            <color indexed="81"/>
            <rFont val="Tahoma"/>
            <charset val="1"/>
          </rPr>
          <t>Kate Coventry:</t>
        </r>
        <r>
          <rPr>
            <sz val="9"/>
            <color indexed="81"/>
            <rFont val="Tahoma"/>
            <charset val="1"/>
          </rPr>
          <t xml:space="preserve">
$2,177 &amp; 490 transferred out of DDOT and into OCP
</t>
        </r>
      </text>
    </comment>
    <comment ref="BX193" authorId="0" guid="{C9B3D27B-CDFC-4549-9DAB-3CDA859DFC52}" shapeId="0">
      <text>
        <r>
          <rPr>
            <b/>
            <sz val="9"/>
            <color indexed="81"/>
            <rFont val="Tahoma"/>
            <family val="2"/>
          </rPr>
          <t>Jenny Reed:</t>
        </r>
        <r>
          <rPr>
            <sz val="9"/>
            <color indexed="81"/>
            <rFont val="Tahoma"/>
            <family val="2"/>
          </rPr>
          <t xml:space="preserve">
Includes $2,200 m that were shifted for finance collections to OCFO. Removed same amount from OCFO budget
</t>
        </r>
      </text>
    </comment>
    <comment ref="CI195" authorId="0" guid="{2421E1F5-101D-476E-9B2F-D4596D5173DE}" shapeId="0">
      <text>
        <r>
          <rPr>
            <b/>
            <sz val="9"/>
            <color indexed="81"/>
            <rFont val="Tahoma"/>
            <family val="2"/>
          </rPr>
          <t>Jenny Reed:</t>
        </r>
        <r>
          <rPr>
            <sz val="9"/>
            <color indexed="81"/>
            <rFont val="Tahoma"/>
            <family val="2"/>
          </rPr>
          <t xml:space="preserve">
Shifted $1m back into WMATA that was added to help provide taxi access for people who need assistance getting to dialysis treatment.
</t>
        </r>
      </text>
    </comment>
    <comment ref="CN195" authorId="3" guid="{2EC26C8F-DA57-46FE-9344-A2D254D47D5D}" shapeId="0">
      <text>
        <r>
          <rPr>
            <b/>
            <sz val="9"/>
            <color indexed="81"/>
            <rFont val="Tahoma"/>
            <family val="2"/>
          </rPr>
          <t>Kate Coventry:</t>
        </r>
        <r>
          <rPr>
            <sz val="9"/>
            <color indexed="81"/>
            <rFont val="Tahoma"/>
            <family val="2"/>
          </rPr>
          <t xml:space="preserve">
$1000 transferred from WMATA to Taxicab Commission for paratransit services
</t>
        </r>
      </text>
    </comment>
    <comment ref="BN197" authorId="0" guid="{22FB6568-CD16-4D0F-BBBA-250F311FBF0F}" shapeId="0">
      <text>
        <r>
          <rPr>
            <b/>
            <sz val="9"/>
            <color indexed="81"/>
            <rFont val="Tahoma"/>
            <family val="2"/>
          </rPr>
          <t>Jenny Reed:</t>
        </r>
        <r>
          <rPr>
            <sz val="9"/>
            <color indexed="81"/>
            <rFont val="Tahoma"/>
            <family val="2"/>
          </rPr>
          <t xml:space="preserve">
Includes about $50.6m transferred from DDOT that used to be done via intra-district
</t>
        </r>
      </text>
    </comment>
    <comment ref="BX197" authorId="0" guid="{5D2A7BE0-240F-4FF5-8183-EA863E6DEED4}" shapeId="0">
      <text>
        <r>
          <rPr>
            <b/>
            <sz val="9"/>
            <color indexed="81"/>
            <rFont val="Tahoma"/>
            <family val="2"/>
          </rPr>
          <t>Jenny Reed:</t>
        </r>
        <r>
          <rPr>
            <sz val="9"/>
            <color indexed="81"/>
            <rFont val="Tahoma"/>
            <family val="2"/>
          </rPr>
          <t xml:space="preserve">
Removed $50.6 million in funds that were transferred from DDOT to WMATA in FY 2014.  Kept in DDOT to allow for more accurate year to year comparison.
</t>
        </r>
        <r>
          <rPr>
            <b/>
            <sz val="9"/>
            <color indexed="81"/>
            <rFont val="Tahoma"/>
            <family val="2"/>
          </rPr>
          <t>manganaris:</t>
        </r>
        <r>
          <rPr>
            <sz val="9"/>
            <color indexed="81"/>
            <rFont val="Tahoma"/>
            <family val="2"/>
          </rPr>
          <t xml:space="preserve">
The 50.6 mil shift was put back in. However if comparing years other than 2013&amp;14 the shifts need to be taken out</t>
        </r>
        <r>
          <rPr>
            <sz val="9"/>
            <color indexed="81"/>
            <rFont val="Tahoma"/>
            <family val="2"/>
          </rPr>
          <t xml:space="preserve">
</t>
        </r>
      </text>
    </comment>
    <comment ref="CC197" authorId="9" guid="{79D64E7E-1B40-413A-A4F7-85C0233ACDAB}" shapeId="0">
      <text>
        <r>
          <rPr>
            <b/>
            <sz val="9"/>
            <color indexed="81"/>
            <rFont val="Tahoma"/>
            <family val="2"/>
          </rPr>
          <t>manganaris:</t>
        </r>
        <r>
          <rPr>
            <sz val="9"/>
            <color indexed="81"/>
            <rFont val="Tahoma"/>
            <family val="2"/>
          </rPr>
          <t xml:space="preserve">
Does include 10.58 mil shift from DDOT. If comparing years past 2013 shift needs to be acounted for by moving money back to DDOT</t>
        </r>
      </text>
    </comment>
    <comment ref="CI197" authorId="0" guid="{63191EFF-BB88-48AE-8770-1811DA007136}" shapeId="0">
      <text>
        <r>
          <rPr>
            <b/>
            <sz val="9"/>
            <color indexed="81"/>
            <rFont val="Tahoma"/>
            <family val="2"/>
          </rPr>
          <t>Jenny Reed:</t>
        </r>
        <r>
          <rPr>
            <sz val="9"/>
            <color indexed="81"/>
            <rFont val="Tahoma"/>
            <family val="2"/>
          </rPr>
          <t xml:space="preserve">
Shifted funding back to WMATA for kids ride free and circulator services.  Kep $1m that was shifted to DCTC for taxi access for people going to dialysis treatments.
</t>
        </r>
      </text>
    </comment>
    <comment ref="CN197" authorId="3" guid="{AE88A5B6-CBDB-4833-8CBF-64F6FBBF030D}" shapeId="0">
      <text>
        <r>
          <rPr>
            <b/>
            <sz val="9"/>
            <color indexed="81"/>
            <rFont val="Tahoma"/>
            <family val="2"/>
          </rPr>
          <t>Kate Coventry:</t>
        </r>
        <r>
          <rPr>
            <sz val="9"/>
            <color indexed="81"/>
            <rFont val="Tahoma"/>
            <family val="2"/>
          </rPr>
          <t xml:space="preserve">
1,000 transferred from WMATA to Taxicab Commission for parartransit
</t>
        </r>
      </text>
    </comment>
    <comment ref="BE199" authorId="10" guid="{96FCB32D-5E11-4232-AB8B-C5BC2F49B2BC}" shapeId="0">
      <text>
        <r>
          <rPr>
            <b/>
            <sz val="9"/>
            <color indexed="81"/>
            <rFont val="Tahoma"/>
            <family val="2"/>
          </rPr>
          <t>gajdeczka:</t>
        </r>
        <r>
          <rPr>
            <sz val="9"/>
            <color indexed="81"/>
            <rFont val="Tahoma"/>
            <family val="2"/>
          </rPr>
          <t xml:space="preserve">
move to DDOT
</t>
        </r>
      </text>
    </comment>
    <comment ref="BX227" authorId="0" guid="{58A17204-A308-48F3-9C09-B2E3D84076FC}" shapeId="0">
      <text>
        <r>
          <rPr>
            <b/>
            <sz val="9"/>
            <color indexed="81"/>
            <rFont val="Tahoma"/>
            <family val="2"/>
          </rPr>
          <t>Jenny Reed:</t>
        </r>
        <r>
          <rPr>
            <sz val="9"/>
            <color indexed="81"/>
            <rFont val="Tahoma"/>
            <family val="2"/>
          </rPr>
          <t xml:space="preserve">
Shifted to Enterprise Appropriation title in FY 2013, moved back for FY 2013 for comparison purposes
</t>
        </r>
      </text>
    </comment>
    <comment ref="BX229" authorId="0" guid="{880C37B4-9DFC-4A67-8632-D273ACB7E91A}" shapeId="0">
      <text>
        <r>
          <rPr>
            <b/>
            <sz val="9"/>
            <color indexed="81"/>
            <rFont val="Tahoma"/>
            <family val="2"/>
          </rPr>
          <t>Jenny Reed:</t>
        </r>
        <r>
          <rPr>
            <sz val="9"/>
            <color indexed="81"/>
            <rFont val="Tahoma"/>
            <family val="2"/>
          </rPr>
          <t xml:space="preserve">
Shifted to enterprise appropriation title in FY 2013.  Moved back for comparison purposes
</t>
        </r>
      </text>
    </comment>
  </commentList>
</comments>
</file>

<file path=xl/comments2.xml><?xml version="1.0" encoding="utf-8"?>
<comments xmlns="http://schemas.openxmlformats.org/spreadsheetml/2006/main">
  <authors>
    <author>Jenny Reed</author>
    <author>Ed Lazere</author>
    <author>healy</author>
  </authors>
  <commentList>
    <comment ref="BW21" authorId="0" guid="{4C77DD28-528C-40C0-9399-7BAAB75C82C3}" shapeId="0">
      <text>
        <r>
          <rPr>
            <b/>
            <sz val="9"/>
            <color indexed="81"/>
            <rFont val="Tahoma"/>
            <family val="2"/>
          </rPr>
          <t>Jenny Reed:</t>
        </r>
        <r>
          <rPr>
            <sz val="9"/>
            <color indexed="81"/>
            <rFont val="Tahoma"/>
            <family val="2"/>
          </rPr>
          <t xml:space="preserve">
Removed $1.36 mil that had been shifted from DDOT
</t>
        </r>
      </text>
    </comment>
    <comment ref="BW25" authorId="1" guid="{F24CA2E5-C788-4006-A3AD-9BF6E5AB5F8C}" shapeId="0">
      <text>
        <r>
          <rPr>
            <b/>
            <sz val="9"/>
            <color indexed="81"/>
            <rFont val="Tahoma"/>
            <family val="2"/>
          </rPr>
          <t>Ed Lazere:</t>
        </r>
        <r>
          <rPr>
            <sz val="9"/>
            <color indexed="81"/>
            <rFont val="Tahoma"/>
            <family val="2"/>
          </rPr>
          <t xml:space="preserve">
see Budget Shifts tab
</t>
        </r>
      </text>
    </comment>
    <comment ref="BW35" authorId="0" guid="{BB11B490-14C3-48EE-8FE7-2507C26157B8}" shapeId="0">
      <text>
        <r>
          <rPr>
            <b/>
            <sz val="9"/>
            <color indexed="81"/>
            <rFont val="Tahoma"/>
            <family val="2"/>
          </rPr>
          <t>Jenny Reed:</t>
        </r>
        <r>
          <rPr>
            <sz val="9"/>
            <color indexed="81"/>
            <rFont val="Tahoma"/>
            <family val="2"/>
          </rPr>
          <t xml:space="preserve">
Removed $2.2 million that had been shifted from DMV to OTR
</t>
        </r>
      </text>
    </comment>
    <comment ref="BW92" authorId="1" guid="{52D6557E-FB8E-493A-8838-0B1256379380}" shapeId="0">
      <text>
        <r>
          <rPr>
            <b/>
            <sz val="9"/>
            <color indexed="81"/>
            <rFont val="Tahoma"/>
            <family val="2"/>
          </rPr>
          <t>Ed Lazere:</t>
        </r>
        <r>
          <rPr>
            <sz val="9"/>
            <color indexed="81"/>
            <rFont val="Tahoma"/>
            <family val="2"/>
          </rPr>
          <t xml:space="preserve">
see Budget Shifts tab
</t>
        </r>
      </text>
    </comment>
    <comment ref="A98" authorId="2" guid="{B01B9DCD-2B8E-4DC5-A631-812973181D39}" shapeId="0">
      <text>
        <r>
          <rPr>
            <b/>
            <sz val="9"/>
            <color indexed="81"/>
            <rFont val="Tahoma"/>
            <family val="2"/>
          </rPr>
          <t>healy:</t>
        </r>
        <r>
          <rPr>
            <sz val="9"/>
            <color indexed="81"/>
            <rFont val="Tahoma"/>
            <family val="2"/>
          </rPr>
          <t xml:space="preserve">
This looks to be the same as the above category minus homeland security</t>
        </r>
      </text>
    </comment>
    <comment ref="A102" authorId="2" guid="{6F7FE8F0-1705-4842-86B0-951CF6269BD5}" shapeId="0">
      <text>
        <r>
          <rPr>
            <b/>
            <sz val="9"/>
            <color indexed="81"/>
            <rFont val="Tahoma"/>
            <family val="2"/>
          </rPr>
          <t>healy:</t>
        </r>
        <r>
          <rPr>
            <sz val="9"/>
            <color indexed="81"/>
            <rFont val="Tahoma"/>
            <family val="2"/>
          </rPr>
          <t xml:space="preserve">
this category is named "Sentencing Commision" between 2000-3… is this the same thing?</t>
        </r>
      </text>
    </comment>
    <comment ref="BW107" authorId="1" guid="{0261D5F3-FED9-4CEB-9F43-323B72A09291}" shapeId="0">
      <text>
        <r>
          <rPr>
            <b/>
            <sz val="9"/>
            <color indexed="81"/>
            <rFont val="Tahoma"/>
            <family val="2"/>
          </rPr>
          <t>Ed Lazere:</t>
        </r>
        <r>
          <rPr>
            <sz val="9"/>
            <color indexed="81"/>
            <rFont val="Tahoma"/>
            <family val="2"/>
          </rPr>
          <t xml:space="preserve">
see Budget Shifts tab
</t>
        </r>
      </text>
    </comment>
    <comment ref="A132" authorId="2" guid="{9BCF9E2F-1640-40D9-AB37-0709658002BD}" shapeId="0">
      <text>
        <r>
          <rPr>
            <b/>
            <sz val="9"/>
            <color indexed="81"/>
            <rFont val="Tahoma"/>
            <family val="2"/>
          </rPr>
          <t xml:space="preserve">healy:
</t>
        </r>
        <r>
          <rPr>
            <sz val="9"/>
            <color indexed="81"/>
            <rFont val="Tahoma"/>
            <family val="2"/>
          </rPr>
          <t>My budget book says funding for this agency was 0 in 2002 &amp; 2003</t>
        </r>
      </text>
    </comment>
    <comment ref="BW136" authorId="1" guid="{59B0E889-71B3-43F6-AD06-783BEFDD6EE0}" shapeId="0">
      <text>
        <r>
          <rPr>
            <b/>
            <sz val="9"/>
            <color indexed="81"/>
            <rFont val="Tahoma"/>
            <family val="2"/>
          </rPr>
          <t>Ed Lazere:</t>
        </r>
        <r>
          <rPr>
            <sz val="9"/>
            <color indexed="81"/>
            <rFont val="Tahoma"/>
            <family val="2"/>
          </rPr>
          <t xml:space="preserve">
See Budget Shifts tab
</t>
        </r>
      </text>
    </comment>
    <comment ref="BW158" authorId="1" guid="{57B6B690-8029-4BEC-8568-A933B752FF96}" shapeId="0">
      <text>
        <r>
          <rPr>
            <b/>
            <sz val="9"/>
            <color indexed="81"/>
            <rFont val="Tahoma"/>
            <family val="2"/>
          </rPr>
          <t>Ed Lazere:</t>
        </r>
        <r>
          <rPr>
            <sz val="9"/>
            <color indexed="81"/>
            <rFont val="Tahoma"/>
            <family val="2"/>
          </rPr>
          <t xml:space="preserve">
See Budget Shifts tab
</t>
        </r>
      </text>
    </comment>
    <comment ref="BW159" authorId="1" guid="{DC9C4233-C85A-428C-AA03-02616E204E98}" shapeId="0">
      <text>
        <r>
          <rPr>
            <b/>
            <sz val="9"/>
            <color indexed="81"/>
            <rFont val="Tahoma"/>
            <family val="2"/>
          </rPr>
          <t>Ed Lazere:</t>
        </r>
        <r>
          <rPr>
            <sz val="9"/>
            <color indexed="81"/>
            <rFont val="Tahoma"/>
            <family val="2"/>
          </rPr>
          <t xml:space="preserve">
see Budget Shifts tab
</t>
        </r>
      </text>
    </comment>
    <comment ref="BW188" authorId="0" guid="{56A25AA3-DFA5-4AD3-9FE1-A663AA2088B1}" shapeId="0">
      <text>
        <r>
          <rPr>
            <b/>
            <sz val="9"/>
            <color indexed="81"/>
            <rFont val="Tahoma"/>
            <family val="2"/>
          </rPr>
          <t>Jenny Reed:</t>
        </r>
        <r>
          <rPr>
            <sz val="9"/>
            <color indexed="81"/>
            <rFont val="Tahoma"/>
            <family val="2"/>
          </rPr>
          <t xml:space="preserve">
Approx. $50.6m transferred to WMATA in FY 2013, previously included in DDOT's budget
</t>
        </r>
      </text>
    </comment>
    <comment ref="BW193" authorId="0" guid="{9988F92F-9BA4-4567-815D-635DDCCF1225}" shapeId="0">
      <text>
        <r>
          <rPr>
            <b/>
            <sz val="9"/>
            <color indexed="81"/>
            <rFont val="Tahoma"/>
            <family val="2"/>
          </rPr>
          <t>Jenny Reed:</t>
        </r>
        <r>
          <rPr>
            <sz val="9"/>
            <color indexed="81"/>
            <rFont val="Tahoma"/>
            <family val="2"/>
          </rPr>
          <t xml:space="preserve">
Includes about $50.6m transferred from DDOT that used to be done via intra-district
</t>
        </r>
      </text>
    </comment>
    <comment ref="A222" authorId="2" guid="{8B71CCE6-E52D-4409-87A1-6DDF5D54A3A9}" shapeId="0">
      <text>
        <r>
          <rPr>
            <b/>
            <sz val="9"/>
            <color indexed="81"/>
            <rFont val="Tahoma"/>
            <family val="2"/>
          </rPr>
          <t>healy:</t>
        </r>
        <r>
          <rPr>
            <sz val="9"/>
            <color indexed="81"/>
            <rFont val="Tahoma"/>
            <family val="2"/>
          </rPr>
          <t xml:space="preserve">
Is this the same as "Repayment of General Fund Deficit Bonds
</t>
        </r>
      </text>
    </comment>
  </commentList>
</comments>
</file>

<file path=xl/sharedStrings.xml><?xml version="1.0" encoding="utf-8"?>
<sst xmlns="http://schemas.openxmlformats.org/spreadsheetml/2006/main" count="2928" uniqueCount="524">
  <si>
    <t xml:space="preserve">Government of the District of Columbia </t>
  </si>
  <si>
    <t>Fiscal Year 2016 Budget</t>
  </si>
  <si>
    <t>This guide explains the spreadsheets contained in this workbook.  Each spreadsheet tracks only local, special purpose and dedicated tax revenue funds in the District's operating budget.  All figures are in thousands, meaning a number that reads $34,098 really means $34,098,000.  For fiscal years 2000 through 2013, numbers are "actual," meaning that the fiscal year is complete and the final figures have been released.  FY 2014 is not complete, so FY 2014 numbers are preliminary.</t>
  </si>
  <si>
    <t>Spreadsheet Name</t>
  </si>
  <si>
    <t>Description</t>
  </si>
  <si>
    <t>FY2016 by Approp Title</t>
  </si>
  <si>
    <t>Tracks general fund budgets for for fiscal years 2000 through 2016 by Appropriations title without adjusting each years appropriations for inflation.</t>
  </si>
  <si>
    <t>FY2016 by Approp Title-Adj</t>
  </si>
  <si>
    <t>Tracks general fund budgets for for fiscal years 2000 through 2016 by Appropriations title and makes adjustments for inflation so that all figures are in terms of 2016 dollars.</t>
  </si>
  <si>
    <t>FY 2016 by Agency</t>
  </si>
  <si>
    <t>Tracks general fund budgets for for fiscal years 2000 through 2016 for each government agency without adjusting each years appropriations for inflation.</t>
  </si>
  <si>
    <t>FY 2016 by Agency-Adj</t>
  </si>
  <si>
    <t>Tracks general fund budgets for for fiscal years 2000 through 2016 for each government agency and makes adjustments for inflation so that all figures are in terms of 2015 dollars.</t>
  </si>
  <si>
    <t>Inflator</t>
  </si>
  <si>
    <t>Shows the factor used to account for inflation for each fiscal year.</t>
  </si>
  <si>
    <t>FY 2016 Budget Shifts</t>
  </si>
  <si>
    <t>Explains notes on why certain money shifted from one agency to another</t>
  </si>
  <si>
    <t>Fiscal Year 2009 Budget</t>
  </si>
  <si>
    <t>* Includes Local and Special Purpose RevenueFunds only</t>
  </si>
  <si>
    <t>* Figures have not been adjusted for inflation.</t>
  </si>
  <si>
    <t>* All figures are in thousands ($000's), i.e. the $6,444,728 total proposed budget for FY 2009 is really $6,444,728,000.</t>
  </si>
  <si>
    <t>Fiscal Year 2015 Budget</t>
  </si>
  <si>
    <t>FY 2000</t>
  </si>
  <si>
    <t>FY 2001</t>
  </si>
  <si>
    <t>Change FY '00-'01</t>
  </si>
  <si>
    <t>FY 2002</t>
  </si>
  <si>
    <t>Change FY '01-'02</t>
  </si>
  <si>
    <t>FY 2003</t>
  </si>
  <si>
    <t>Change FY '02 - '03</t>
  </si>
  <si>
    <t>FY 2004</t>
  </si>
  <si>
    <t>Change FY '03 - '04</t>
  </si>
  <si>
    <t>FY2005</t>
  </si>
  <si>
    <t>Change FY '04 - '05</t>
  </si>
  <si>
    <t>FY2006</t>
  </si>
  <si>
    <t>Change FY '05 - '06</t>
  </si>
  <si>
    <t>FY 2007</t>
  </si>
  <si>
    <t>Change FY '06 - '07</t>
  </si>
  <si>
    <t>FY 2008</t>
  </si>
  <si>
    <t>Change FY '07 - '08</t>
  </si>
  <si>
    <t>FY2009</t>
  </si>
  <si>
    <t xml:space="preserve">Change FY '08 - '09 </t>
  </si>
  <si>
    <t>FY2010 Actual</t>
  </si>
  <si>
    <t>Change FY '09 - '10</t>
  </si>
  <si>
    <t>FY 2011 Actual</t>
  </si>
  <si>
    <t xml:space="preserve">Change FY '10 - '11A 
</t>
  </si>
  <si>
    <t>FY 2012</t>
  </si>
  <si>
    <t>Change FY '11A- '12P</t>
  </si>
  <si>
    <t xml:space="preserve">FY 2013 </t>
  </si>
  <si>
    <t xml:space="preserve">Change FY '12 - '13A </t>
  </si>
  <si>
    <t>FY 2014 Approved</t>
  </si>
  <si>
    <t>Change FY '13-FY14</t>
  </si>
  <si>
    <t>FY 2015 Approved</t>
  </si>
  <si>
    <t>Change FY '14-'15</t>
  </si>
  <si>
    <t>FY 2016 Approved</t>
  </si>
  <si>
    <t>Change FY '15-'16</t>
  </si>
  <si>
    <t>Appropriation Title</t>
  </si>
  <si>
    <t>Actual</t>
  </si>
  <si>
    <t>$</t>
  </si>
  <si>
    <t>%</t>
  </si>
  <si>
    <t>Governmental Direction &amp; Support</t>
  </si>
  <si>
    <t xml:space="preserve">Economic Development &amp; Regulation  </t>
  </si>
  <si>
    <t xml:space="preserve">Public Safety &amp; Justice  </t>
  </si>
  <si>
    <t>Public Education</t>
  </si>
  <si>
    <t xml:space="preserve">Human Support Services  </t>
  </si>
  <si>
    <t>Public Works</t>
  </si>
  <si>
    <t>Financing and Other Uses</t>
  </si>
  <si>
    <t>Total</t>
  </si>
  <si>
    <t xml:space="preserve">Change FY '08- '09 </t>
  </si>
  <si>
    <t xml:space="preserve">FY2010 </t>
  </si>
  <si>
    <t xml:space="preserve">FY 2011 </t>
  </si>
  <si>
    <t>Change FY '10- '11A</t>
  </si>
  <si>
    <t>Change FY '12- '13A</t>
  </si>
  <si>
    <t>FY 2014  Approved</t>
  </si>
  <si>
    <t>* Includes Local and Special Purpose (General) Funds only</t>
  </si>
  <si>
    <t>FY 2013</t>
  </si>
  <si>
    <t>* All dollar figures are in thousands ($000's)</t>
  </si>
  <si>
    <t>Approved</t>
  </si>
  <si>
    <t xml:space="preserve">                          Change FY '00-01</t>
  </si>
  <si>
    <t xml:space="preserve">                    Change FY '01 - '02</t>
  </si>
  <si>
    <t xml:space="preserve">                          Change FY '02-03</t>
  </si>
  <si>
    <t>FY 2006</t>
  </si>
  <si>
    <t>Change FY '05-'06</t>
  </si>
  <si>
    <t>Change FY '07-'08</t>
  </si>
  <si>
    <t>FY 2009</t>
  </si>
  <si>
    <t>Change FY '08-'09</t>
  </si>
  <si>
    <t>FY 2010</t>
  </si>
  <si>
    <t>Change FY '09-'10</t>
  </si>
  <si>
    <t>FY 2011</t>
  </si>
  <si>
    <t>Change FY 10'-FY'11A (with Fixed Cost Adjustments)</t>
  </si>
  <si>
    <t>Change FY '10R-'11A</t>
  </si>
  <si>
    <t>Change FY '11A-'12</t>
  </si>
  <si>
    <t>Change FY '11A (+fixed costs) -'12 (+fixed costs)</t>
  </si>
  <si>
    <t>Change FYA12-FY13P</t>
  </si>
  <si>
    <t xml:space="preserve">Change FY '12A  -'13 </t>
  </si>
  <si>
    <t>FY 2014</t>
  </si>
  <si>
    <t>Change FY 13-FY14</t>
  </si>
  <si>
    <t>FY 2015</t>
  </si>
  <si>
    <t>Change FY 14-15</t>
  </si>
  <si>
    <t>FY 2016</t>
  </si>
  <si>
    <t>Change FY 15-16</t>
  </si>
  <si>
    <t xml:space="preserve">Actual </t>
  </si>
  <si>
    <t>Approved Local Budget</t>
  </si>
  <si>
    <t>Approved Special Purpose Revenue</t>
  </si>
  <si>
    <t>Revised Local</t>
  </si>
  <si>
    <t>Revised Gen Fund</t>
  </si>
  <si>
    <t>CSFL</t>
  </si>
  <si>
    <t>one time</t>
  </si>
  <si>
    <t>total CSFL</t>
  </si>
  <si>
    <t>Proposed Local</t>
  </si>
  <si>
    <t>Proposed Gen Fund</t>
  </si>
  <si>
    <t>Fixed Costs</t>
  </si>
  <si>
    <t>OCP/DHR</t>
  </si>
  <si>
    <t>Total Fixed Costs Moved</t>
  </si>
  <si>
    <t>Actual + Fixed Costs</t>
  </si>
  <si>
    <t xml:space="preserve"> %</t>
  </si>
  <si>
    <t>Diff from GEN FUND</t>
  </si>
  <si>
    <t>Diff from GEN FUND %</t>
  </si>
  <si>
    <t>Revised</t>
  </si>
  <si>
    <t>$ Change</t>
  </si>
  <si>
    <t>% Change</t>
  </si>
  <si>
    <t>OCP</t>
  </si>
  <si>
    <t>HR Costs</t>
  </si>
  <si>
    <t>OCTO Shifts</t>
  </si>
  <si>
    <t>Proposed &amp; With Fixed Costs Added Back In</t>
  </si>
  <si>
    <t>Proposed</t>
  </si>
  <si>
    <t>Supplemental</t>
  </si>
  <si>
    <t>Approved + Supplemental</t>
  </si>
  <si>
    <t>Council of the District of Columbia</t>
  </si>
  <si>
    <t xml:space="preserve">Office of the District of Columbia Auditor </t>
  </si>
  <si>
    <t>Advisory Neighborhood Commissions</t>
  </si>
  <si>
    <t>Office of the Mayor</t>
  </si>
  <si>
    <t>Office of the Community Affairs^^</t>
  </si>
  <si>
    <t>—</t>
  </si>
  <si>
    <t>Serve DC^^</t>
  </si>
  <si>
    <t>Office of the Secretary</t>
  </si>
  <si>
    <t>Customer Service Operations*</t>
  </si>
  <si>
    <t>Office of the City Administrator</t>
  </si>
  <si>
    <t>D.C. Office of Risk Management</t>
  </si>
  <si>
    <t>Office of Personnel</t>
  </si>
  <si>
    <t>D.C. Human Resources</t>
  </si>
  <si>
    <t>Human Resources Development Fund*</t>
  </si>
  <si>
    <t>Office of Disability Rights</t>
  </si>
  <si>
    <t>Office of Finance and Resource Management</t>
  </si>
  <si>
    <t>Office of Partnerships and Grants and Services</t>
  </si>
  <si>
    <t>Office of Contracting and Procurement</t>
  </si>
  <si>
    <t xml:space="preserve">Office of the Chief Technology Officer </t>
  </si>
  <si>
    <t>Department of General Services****</t>
  </si>
  <si>
    <t>Contract Appeals Board</t>
  </si>
  <si>
    <t>Board of Elections</t>
  </si>
  <si>
    <t>Office of Campaign Finance</t>
  </si>
  <si>
    <t>Public Employee Relations Board</t>
  </si>
  <si>
    <t>Office of Employee Appeals</t>
  </si>
  <si>
    <t>Metropolitan Washington Council of Governments</t>
  </si>
  <si>
    <t>Office of the Attorney General of the District of Columbia</t>
  </si>
  <si>
    <t>Statehood Initiatives Agency*****</t>
  </si>
  <si>
    <t>Office of the Inspector General</t>
  </si>
  <si>
    <t>Office of the Chief Financial Officer</t>
  </si>
  <si>
    <t>Medical Liability Captive Insurance Agency**</t>
  </si>
  <si>
    <t>Municipal Facilities: Non-Capital</t>
  </si>
  <si>
    <t>Access to Justice</t>
  </si>
  <si>
    <t>Section 103 Judgements Gov Dir and Support***</t>
  </si>
  <si>
    <t>Department of Real Estate Services</t>
  </si>
  <si>
    <t>Once City Fund/Innovation Fund</t>
  </si>
  <si>
    <t>Tax Revision Commission</t>
  </si>
  <si>
    <t>Uniform Law Commission</t>
  </si>
  <si>
    <t>DC Board of Ethics and Government Accountability^</t>
  </si>
  <si>
    <t xml:space="preserve">Subtotal: Governmental Direction &amp; Support </t>
  </si>
  <si>
    <t>Notes for Government Direction &amp; Support</t>
  </si>
  <si>
    <t>^^absorbed into Mayor's office 2013</t>
  </si>
  <si>
    <t>*This agency does not exist after 2007</t>
  </si>
  <si>
    <t>**This agency was first proposed in 2010</t>
  </si>
  <si>
    <t>***This line item first appears in 2008</t>
  </si>
  <si>
    <t>****Created in FY12, formerly Office of Property Management</t>
  </si>
  <si>
    <t>*****Created in FY15</t>
  </si>
  <si>
    <t>Deputy Mayor for Planning and Economic Development*</t>
  </si>
  <si>
    <t>Office of Planning</t>
  </si>
  <si>
    <t xml:space="preserve">Office of Small and Local Business Development*   </t>
  </si>
  <si>
    <t>Office of Motion Picture &amp; Television Development*</t>
  </si>
  <si>
    <t>Office of Zoning</t>
  </si>
  <si>
    <t xml:space="preserve">Department of Housing and Community Development  </t>
  </si>
  <si>
    <t>DC Housing Authority Subsidy</t>
  </si>
  <si>
    <t>Department of Employment Services</t>
  </si>
  <si>
    <t>Board of Appeals and Review**</t>
  </si>
  <si>
    <t xml:space="preserve">Board of Real Property Assessments and Appeals </t>
  </si>
  <si>
    <t>Department of Consumer and Regulatory Affairs</t>
  </si>
  <si>
    <t>Office of the Tenant Advocate***</t>
  </si>
  <si>
    <t>Commission on the Arts and Humanities</t>
  </si>
  <si>
    <t>Alcoholic Beverage Regulation Administration</t>
  </si>
  <si>
    <t>Department of Banking and Financial Institutions**</t>
  </si>
  <si>
    <t>Public Service Commission</t>
  </si>
  <si>
    <t>Office of the People's Counsel</t>
  </si>
  <si>
    <t>Department of Insurance, Securities and Banking</t>
  </si>
  <si>
    <t>Office of Cable Television and Telecommunications</t>
  </si>
  <si>
    <t>Anacostia Waterfront Corporation Subsidy</t>
  </si>
  <si>
    <t>Housing Production Trust Fund****</t>
  </si>
  <si>
    <t>DC Sports Commission Subsidy</t>
  </si>
  <si>
    <t>Business Improvements District Transfer</t>
  </si>
  <si>
    <t>Subtotal: Economic Development &amp; Regulation</t>
  </si>
  <si>
    <t>Number above includes 6500 in local funds for HPAP</t>
  </si>
  <si>
    <t>Notes for Economic Development &amp; Regulation:</t>
  </si>
  <si>
    <t>* Prior to FY 2003, these three agencies were budgeted together under the Deputy Mayor for Planning and Economic Development.</t>
  </si>
  <si>
    <t>** This agency was removed in 2005.</t>
  </si>
  <si>
    <t>*** This agency was established in the FY 2008 budget.</t>
  </si>
  <si>
    <t>**** Prior to FY 2007, HPTF was part of the budget of the Department of Housing nd Community Development.</t>
  </si>
  <si>
    <t>Public Safety &amp; Justice</t>
  </si>
  <si>
    <t>Metropolitan Police Department</t>
  </si>
  <si>
    <t>Fire and Emergency Medical Services Department</t>
  </si>
  <si>
    <t>Police Officers' and Fire Fighters' Retirement</t>
  </si>
  <si>
    <t>Department of Corrections</t>
  </si>
  <si>
    <t>National Guard</t>
  </si>
  <si>
    <t>Homeland Security and Emergency Management Agency</t>
  </si>
  <si>
    <t>DC Emergency Management Agency</t>
  </si>
  <si>
    <t>Commission on Judicial Disabilities and Tenure</t>
  </si>
  <si>
    <t>Judicial Nomination Commission</t>
  </si>
  <si>
    <t>Office of Police Complaints*</t>
  </si>
  <si>
    <t>Sentencing and Criminal Code Revision Commision</t>
  </si>
  <si>
    <t>Office of the Chief Medical Examiner</t>
  </si>
  <si>
    <t>Office of Administrative Hearings</t>
  </si>
  <si>
    <t>Corrections Information Council^</t>
  </si>
  <si>
    <t>Criminal Justice Coordinating Council</t>
  </si>
  <si>
    <t>Forensic Laboratory Technician Training Program**</t>
  </si>
  <si>
    <t>Emergency and Disaster Response***</t>
  </si>
  <si>
    <t>Office of Victim Services</t>
  </si>
  <si>
    <t>Justice Grants Administration</t>
  </si>
  <si>
    <t>Office of Unified Communications</t>
  </si>
  <si>
    <t>Motor Vehicle Theft Prevention Commission (FW)</t>
  </si>
  <si>
    <t>Deputy Mayor for Public Safety and Justice^^</t>
  </si>
  <si>
    <t>Department of Forensic Sciences</t>
  </si>
  <si>
    <t>Section 103 Judgements - Public Safety and Justice ****</t>
  </si>
  <si>
    <t>Subtotal: Public Safety &amp; Justice</t>
  </si>
  <si>
    <t>Notes for Public Safety &amp; Justice:</t>
  </si>
  <si>
    <t>adjust for final budge:2800</t>
  </si>
  <si>
    <t>* Formerly the Office of Citizen Complaints</t>
  </si>
  <si>
    <t>** Formerly the Forensic Health and Science Laboratory</t>
  </si>
  <si>
    <t>*** This agency was eliminated in 2006</t>
  </si>
  <si>
    <t>**** This line item added in 2008</t>
  </si>
  <si>
    <t xml:space="preserve">^Deputy Mayor for Public Safety and Justice iwas created in FY 2011, in FY 2012 absorbed the following agencies: Access to Justice and Poverty Loan Program (from Gov. Ops), Office of Victim Services, Office of the Justice Grants Administration, Corrections Information Council, Motor Vehicle Commission </t>
  </si>
  <si>
    <t>Deputy Mayor for Education*</t>
  </si>
  <si>
    <t>DC Public Schools**</t>
  </si>
  <si>
    <t>Teachers' Retirement System</t>
  </si>
  <si>
    <t>Office of the State Superintendent of Education***</t>
  </si>
  <si>
    <t xml:space="preserve">DC Public Charter Schools    </t>
  </si>
  <si>
    <t>University of the District of Columbia Subsidy Account</t>
  </si>
  <si>
    <t>DC Public Library</t>
  </si>
  <si>
    <t>DC Public Charter School Board</t>
  </si>
  <si>
    <t>Public education facilities modernization office****</t>
  </si>
  <si>
    <t>Non-public Tuition**</t>
  </si>
  <si>
    <t>Special Education Transportation**</t>
  </si>
  <si>
    <t>Section 103 Judgements - Public Education System*****</t>
  </si>
  <si>
    <t>State Board of Education******</t>
  </si>
  <si>
    <t>Subtotal: Public Education</t>
  </si>
  <si>
    <t>DCPS stimulus</t>
  </si>
  <si>
    <t>Notes for Public Education</t>
  </si>
  <si>
    <t>PCS stimulus</t>
  </si>
  <si>
    <t>* This agency was first budgeted in FY 2008 called Department of Education.</t>
  </si>
  <si>
    <t>** In FY 2009, these functions were separated from DC Public Schools</t>
  </si>
  <si>
    <t>*** Formerly known as the State Education Office</t>
  </si>
  <si>
    <t>**** This agency was established in FY 2007</t>
  </si>
  <si>
    <t xml:space="preserve">     In FY 2009, maintenance functions in DCPS were transferred to this agency</t>
  </si>
  <si>
    <t>***** This line item added in 2008</t>
  </si>
  <si>
    <t>******This line item added in 2014</t>
  </si>
  <si>
    <t>Human Support Services</t>
  </si>
  <si>
    <t xml:space="preserve">Department of Human Services    </t>
  </si>
  <si>
    <t xml:space="preserve">Child and Family Services   </t>
  </si>
  <si>
    <t>Department of Behavioral Health ^</t>
  </si>
  <si>
    <t>Deputy Mayor for Health and Human Services*</t>
  </si>
  <si>
    <t>Department of Health**</t>
  </si>
  <si>
    <t>Department of Parks and Recreation</t>
  </si>
  <si>
    <t>Office of Aging</t>
  </si>
  <si>
    <t>Unemployment Compensation</t>
  </si>
  <si>
    <t>Disability Compensation^^</t>
  </si>
  <si>
    <t>Office on Human Rights</t>
  </si>
  <si>
    <t>Office of Latino Affairs</t>
  </si>
  <si>
    <t>DC Energy Office***</t>
  </si>
  <si>
    <t>Children and Youth Investment Collaborative</t>
  </si>
  <si>
    <t>Asian and Pacific Islander Affairs</t>
  </si>
  <si>
    <t>Office of Veterans Affairs</t>
  </si>
  <si>
    <t>Department of Youth Rehabilitation Services****</t>
  </si>
  <si>
    <t>Department of Disability Services*****</t>
  </si>
  <si>
    <t>Department of Health Care Finance**</t>
  </si>
  <si>
    <t>Section 103: Judgments - Human Services</t>
  </si>
  <si>
    <t>Medicaid Reserve</t>
  </si>
  <si>
    <t>Subtotal: Human Support Services</t>
  </si>
  <si>
    <t>medicaid stimulus replaced with local in 2011</t>
  </si>
  <si>
    <t>Notes for Human Support Services:</t>
  </si>
  <si>
    <r>
      <t xml:space="preserve">* </t>
    </r>
    <r>
      <rPr>
        <i/>
        <sz val="11"/>
        <rFont val="Calibri"/>
        <family val="2"/>
        <scheme val="minor"/>
      </rPr>
      <t>New Agency in FY 2012</t>
    </r>
  </si>
  <si>
    <t>** Before FY 2009, the Dept. of Health Care Finance was part of the Dept. of Health</t>
  </si>
  <si>
    <t>*** Before FY 2007, this agency was part of the Human Services Cluster.  As of FY 2007 it is part of the Department of the Environment, under the Public Works *cluster.</t>
  </si>
  <si>
    <t>**** Before FY 2007, this agency was part of the Department of Human Services.</t>
  </si>
  <si>
    <t>***** Before FY 2008, this agency was part of the Department of Human Services.</t>
  </si>
  <si>
    <t>^ Renamed in FY 14 (formerly Department of Mental Health)</t>
  </si>
  <si>
    <t>^^The Employee's Compensation Fund operates through the Disability Compensation Fund</t>
  </si>
  <si>
    <t>^^^ Established in 2012</t>
  </si>
  <si>
    <t>Department of Public Works</t>
  </si>
  <si>
    <t>Department of Transportation*</t>
  </si>
  <si>
    <t>Department of Motor Vehicles</t>
  </si>
  <si>
    <t>District Department of the Environment**</t>
  </si>
  <si>
    <t>Taxicab Commission</t>
  </si>
  <si>
    <t>Washington Metropolitan Area Transit Commission</t>
  </si>
  <si>
    <t>Washington Metropolitan Area Transit Authority</t>
  </si>
  <si>
    <t>Mass Transit Subsidy</t>
  </si>
  <si>
    <t>School Transit Subsidy</t>
  </si>
  <si>
    <t>Subtotal: Public Works</t>
  </si>
  <si>
    <t xml:space="preserve">Notes for Public Works: </t>
  </si>
  <si>
    <t>* The FY 2008 budget includes roughly $68 million in transportation funds that in prior year were reported in the DOT capital budget</t>
  </si>
  <si>
    <t>**This agency was established in FY 2007.</t>
  </si>
  <si>
    <t>FY 2011: In DOT $16,810 m in fixed costs is from SP funds, in DMV$ 114 in fixed costs is in special purpose funds, in Taxi Commission $44 comes from special purpose funds</t>
  </si>
  <si>
    <t>Financing and Other</t>
  </si>
  <si>
    <t xml:space="preserve">Repayment of Loans and Interest </t>
  </si>
  <si>
    <t>Short-term Borrowing</t>
  </si>
  <si>
    <t>Certificate of Participation - One Judiciary Square</t>
  </si>
  <si>
    <t>Settlements and Judgements</t>
  </si>
  <si>
    <t>John A. Wilson Building Fund</t>
  </si>
  <si>
    <t>Workforce Investments</t>
  </si>
  <si>
    <t xml:space="preserve">Non-Departmental   </t>
  </si>
  <si>
    <t>Cash Reserve**</t>
  </si>
  <si>
    <t>Equipment Lease Operating</t>
  </si>
  <si>
    <t>School Modernization Fund</t>
  </si>
  <si>
    <t>Pay-Go Contingency</t>
  </si>
  <si>
    <t>Pay-As-You-Go Capital Fund</t>
  </si>
  <si>
    <t>Tobacco Trust Fund</t>
  </si>
  <si>
    <t>Debt Service - Issuance Costs</t>
  </si>
  <si>
    <t>Grant Disallowance</t>
  </si>
  <si>
    <t>Retiree Health Contribution</t>
  </si>
  <si>
    <t>Repayment of Revenue Bonds (HPTF Securitization)</t>
  </si>
  <si>
    <t>Baseball Dedicated Tax Transfer</t>
  </si>
  <si>
    <t>Emergency Planning and Security Fund (EP)</t>
  </si>
  <si>
    <t>TIF and PILOT Transfer - Dedicated Taxes</t>
  </si>
  <si>
    <t>Highway Trust Fund Transfer - Dedicated Taxes</t>
  </si>
  <si>
    <t>Convention Center Transfer - Dedicated Taxes</t>
  </si>
  <si>
    <t>Section 103 Judgements-Gov Dir and Support</t>
  </si>
  <si>
    <t>Emergency and Contingency Reserve Funds*</t>
  </si>
  <si>
    <t>Inaugural expenses</t>
  </si>
  <si>
    <t>Subtotal: Financing and Other Uses</t>
  </si>
  <si>
    <t>Notes for Financing and Other:</t>
  </si>
  <si>
    <t>** Prior to FY2004 this was the Budget Reserve</t>
  </si>
  <si>
    <t>* New in FY 2011 amended</t>
  </si>
  <si>
    <t>TOTAL, GENERAL OPERATING FUNDS</t>
  </si>
  <si>
    <t>`</t>
  </si>
  <si>
    <t>FY 2009 
Actual</t>
  </si>
  <si>
    <t>Change FY '08-'09R</t>
  </si>
  <si>
    <t>Change FY '12 -FY 13</t>
  </si>
  <si>
    <t>Change FY 13-FY 14</t>
  </si>
  <si>
    <t xml:space="preserve">FY 2015 </t>
  </si>
  <si>
    <t>Change FY 14-FY15</t>
  </si>
  <si>
    <t>Change FY 15-FY 16</t>
  </si>
  <si>
    <t>Local Total</t>
  </si>
  <si>
    <t>Gen Fund Total</t>
  </si>
  <si>
    <t>Diff from 2010 -- LOCAL</t>
  </si>
  <si>
    <t>Diff from LOCAL - %</t>
  </si>
  <si>
    <t>council final Gen Fund</t>
  </si>
  <si>
    <t>council final vs mayor's original, unadjusted</t>
  </si>
  <si>
    <t>Change from 2010, w/DCFPI adjustments</t>
  </si>
  <si>
    <t>FY 2011, Council, w/DCFPI adjustments</t>
  </si>
  <si>
    <t>fy 2011, Council, w/DCFPI adjustments VS&gt; 2010</t>
  </si>
  <si>
    <t>FY11 spending cuts - Oct 5 2010 exec order</t>
  </si>
  <si>
    <t>percent cut</t>
  </si>
  <si>
    <t>Nov Gap Closing Plan</t>
  </si>
  <si>
    <t>FY 2011 Amended (FINAL)</t>
  </si>
  <si>
    <t>Diff between FY 2011 and FY 2011 amended</t>
  </si>
  <si>
    <t>FY 2011 Amended General Fund (final) w/DCFPI adjustments</t>
  </si>
  <si>
    <t>Proposed w/ Fixed Costs</t>
  </si>
  <si>
    <t xml:space="preserve">    $</t>
  </si>
  <si>
    <t>Local</t>
  </si>
  <si>
    <t>Revenue</t>
  </si>
  <si>
    <t>Other</t>
  </si>
  <si>
    <t>COUNCIL OF THE DISTRICT OF COLUMBIA</t>
  </si>
  <si>
    <t>OFFICE OF THE D.C. AUDITOR</t>
  </si>
  <si>
    <t>ADVISORY NEIGHBORHOOD COMMISSIONS</t>
  </si>
  <si>
    <t>OFFICE OF THE MAYOR</t>
  </si>
  <si>
    <t>Office of the Community Affairs</t>
  </si>
  <si>
    <t>OFFICE OF COMMUNITY AFFAIRS</t>
  </si>
  <si>
    <t>Serve DC</t>
  </si>
  <si>
    <t>SERVE DC</t>
  </si>
  <si>
    <t>OFFICE OF THE SECRETARY</t>
  </si>
  <si>
    <t>OFFICE OF THE CITY ADMINISTRATOR</t>
  </si>
  <si>
    <t>D.C. OFFICE OF RISK MANAGEMENT</t>
  </si>
  <si>
    <t>D.C. DEPARTMENT OF HUMAN RESOURCES</t>
  </si>
  <si>
    <t>Human Resources Development Fund</t>
  </si>
  <si>
    <t>Office of Disability Rights*</t>
  </si>
  <si>
    <t>OFFICE OF DISABILITY RIGHTS</t>
  </si>
  <si>
    <t>OFFICE OF FINANCE &amp; RESOURCE MANAGEMENT</t>
  </si>
  <si>
    <t>OFFICE OF PARTNERSHIP &amp; GRANT SERVICES</t>
  </si>
  <si>
    <t>OFFICE OF CONTRACTING &amp; PROCUREMENT</t>
  </si>
  <si>
    <t>OFFICE OF THE CHIEF TECHNOLOGY OFFICER</t>
  </si>
  <si>
    <t>Office of General Services</t>
  </si>
  <si>
    <t>DEPT. OF REAL ESTATE SERVICES</t>
  </si>
  <si>
    <t>CONTRACT APPEALS BOARD</t>
  </si>
  <si>
    <t>Board of Elections and Ethics</t>
  </si>
  <si>
    <t>BOARD OF ELECTIONS &amp; ETHICS</t>
  </si>
  <si>
    <t>OFFICE OF CAMPAIGN FINANCE</t>
  </si>
  <si>
    <t>PUBLIC EMPLOYEE RELATIONS BOARD</t>
  </si>
  <si>
    <t>OFFICE OF EMPLOYEE APPEALS</t>
  </si>
  <si>
    <t>METRO. WASHINGTON COUNCIL OF GOVERNMENTS</t>
  </si>
  <si>
    <t>OFFICE OF THE ATTORNEY GENERAL</t>
  </si>
  <si>
    <t>OFFICE OF THE INSPECTOR GENERAL</t>
  </si>
  <si>
    <t>OFFICE OF THE CHIEF FINANCIAL OFFICER</t>
  </si>
  <si>
    <t>MEDICAL LIABILITY CAPTIVE INSURANCE AGENCY</t>
  </si>
  <si>
    <t>MUNICIPAL FACILITIES: NON-CAPITAL</t>
  </si>
  <si>
    <t>fixed cost agency</t>
  </si>
  <si>
    <t>ACCESS TO JUSTICE</t>
  </si>
  <si>
    <t>Once City Fund</t>
  </si>
  <si>
    <t>FINAL</t>
  </si>
  <si>
    <t>**This agency was first proposed n 2010</t>
  </si>
  <si>
    <t>^ This agency first appeared in FY 2011 amended</t>
  </si>
  <si>
    <t xml:space="preserve">— </t>
  </si>
  <si>
    <t>Commission of the Arts and Humanities</t>
  </si>
  <si>
    <t>**** Prior to FY 2007, HPTF was part of the budget of the Deputy Mayor for Planning and Economic Development.</t>
  </si>
  <si>
    <t>METROPOLITAN POLICE DEPARTMENT</t>
  </si>
  <si>
    <t>FIRE &amp; EMERGENCY SERVICES DEPARTMENT</t>
  </si>
  <si>
    <t>POLICE &amp; FIREFIGHTERS' RETIREMENT SYSTEM</t>
  </si>
  <si>
    <t>DEPARTMENT OF CORRECTIONS</t>
  </si>
  <si>
    <t>D.C. NATIONAL GUARD</t>
  </si>
  <si>
    <t>HOMELAND SECURITY &amp;. EMER. MANAG. AGENCY</t>
  </si>
  <si>
    <t>COMMISSION ON JUDICIAL DISABILITY &amp; TENURE</t>
  </si>
  <si>
    <t>JUDICIAL NOMINATION COMMISSION</t>
  </si>
  <si>
    <t>OFFICE OF POLICE COMPLAINTS</t>
  </si>
  <si>
    <t>D.C. SENTENCING &amp; CRIM. CODE REVISION COMM.</t>
  </si>
  <si>
    <t>OFFICE OF THE CHIEF MEDICAL EXAMINER</t>
  </si>
  <si>
    <t>OFFICE OF ADMINISTRATIVE HEARINGS</t>
  </si>
  <si>
    <t>Corrections Information Council</t>
  </si>
  <si>
    <t>CORRECTIONS INFORMATION COUNCIL</t>
  </si>
  <si>
    <t>CRIMINAL JUSTICE COORDINATING COUNCIL</t>
  </si>
  <si>
    <t>FORENSIC LABORATORY TECHNICIAN TRAIN. PROG.</t>
  </si>
  <si>
    <t>EMERGENCY &amp; DISASTER RESPONSE</t>
  </si>
  <si>
    <t>OFFICE OF VICTIM SERVICES</t>
  </si>
  <si>
    <t>JUSTICE GRANTS ADMINISTRATION</t>
  </si>
  <si>
    <t>OFFICE OF UNIFIED COMMUNICATIONS</t>
  </si>
  <si>
    <t>MOTOR VEHICLE THEFT PREVENTION COMMISSION</t>
  </si>
  <si>
    <t>Deputy Mayor for Public Safety and Justice</t>
  </si>
  <si>
    <t>OFFICE OF THE DEPT. MAYOR FOR EDUCATION</t>
  </si>
  <si>
    <t>D.C. PUBLIC SCHOOLS</t>
  </si>
  <si>
    <t>TEACHERS' RETIREMENT SYSTEM</t>
  </si>
  <si>
    <t>STATE SUPERINTENDENT OF EDUCATION</t>
  </si>
  <si>
    <t>D.C. PUBLIC CHARTER SCHOOLS</t>
  </si>
  <si>
    <t>UNIV. OF THE DISTRICT OF COLUMBIA SUBSIDY</t>
  </si>
  <si>
    <t>D.C. PUBLIC LIBRARY</t>
  </si>
  <si>
    <t>D.C. PUBLIC CHARTER SCHOOL BOARD</t>
  </si>
  <si>
    <t>PUBLIC EDUCATION FACILITIES MODERNIZATION</t>
  </si>
  <si>
    <t>NON-PUBLIC TUITION</t>
  </si>
  <si>
    <t>SPECIAL EDUCATION TRANSPORTATION</t>
  </si>
  <si>
    <t>* Thisagency was first budgeted in FY 2008 called Department of Education.</t>
  </si>
  <si>
    <t>DEPARTMENT OF HUMAN SERVICES</t>
  </si>
  <si>
    <t>CHILD &amp; FAMILY SERVICES AGENCY</t>
  </si>
  <si>
    <t xml:space="preserve">Department of Mental Health   </t>
  </si>
  <si>
    <t>DEPARTMENT OF MENTAL HEALTH</t>
  </si>
  <si>
    <t>DEPARTMENT OF HEALTH</t>
  </si>
  <si>
    <t>DEPARTMENT OF PARKS &amp; RECREATION</t>
  </si>
  <si>
    <t>D.C. OFFICE ON AGING</t>
  </si>
  <si>
    <t>UNEMPLOYMENT COMPENSATION FUND</t>
  </si>
  <si>
    <t>Disability Compensation</t>
  </si>
  <si>
    <t>DISABILITY COMPENSATION FUND</t>
  </si>
  <si>
    <t>OFFICE OF HUMAN RIGHTS</t>
  </si>
  <si>
    <t>OFFICE ON LATINO AFFAIRS</t>
  </si>
  <si>
    <t>CHILDREN &amp; YOUTH INVESTMENT COLLABORATIVE</t>
  </si>
  <si>
    <t>OFFICE OF ASIAN &amp; PACIFIC ISLANDER AFFAIRS</t>
  </si>
  <si>
    <t>OFFICE OF VETERANS' AFFAIRS</t>
  </si>
  <si>
    <t>DEPT. OF YOUTH REHABILITATION SERVICES</t>
  </si>
  <si>
    <t>DEPARTMENT OF DISABILITY SERVICES</t>
  </si>
  <si>
    <t>DEPARTMENT OF HEALTH CARE FINANCE</t>
  </si>
  <si>
    <r>
      <t xml:space="preserve">* </t>
    </r>
    <r>
      <rPr>
        <i/>
        <sz val="11"/>
        <rFont val="Calibri"/>
        <family val="2"/>
        <scheme val="minor"/>
      </rPr>
      <t>This agency first appears in FY 2012</t>
    </r>
  </si>
  <si>
    <t>*** Before FY 2007, this agency was part of the Human Services Cluster.  As of FY 2007 it is part of the Department of the Environment, under the Public Works *cluster.</t>
  </si>
  <si>
    <t>adjustments</t>
  </si>
  <si>
    <t>net of adjustments</t>
  </si>
  <si>
    <t>DEBT SERVICE - REPAYMENT OF LOANS &amp; INTEREST</t>
  </si>
  <si>
    <t>DEBT SERVICE - SHORT-TERM BORROWING</t>
  </si>
  <si>
    <t>DEBT SERVICE - CERTIFICATES OF PARTICIPATION</t>
  </si>
  <si>
    <t>SETTLEMENTS &amp; JUDGMENTS</t>
  </si>
  <si>
    <t>JOHN A. WILSON BUILDING FUND</t>
  </si>
  <si>
    <t>WORKFORCE INVESTMENTS</t>
  </si>
  <si>
    <t>NON-DEPARTMENTAL</t>
  </si>
  <si>
    <t>CASH RESERVE</t>
  </si>
  <si>
    <t>MASTER EQUIPMENT LEASE/PURCHASE PROGRAM</t>
  </si>
  <si>
    <t>DEBT SERVICE - SCHOOL MODERNIZATION FUND</t>
  </si>
  <si>
    <t>PAY-AS-YOU-GO CAPITAL FUND</t>
  </si>
  <si>
    <t>DEBT SERVICE - ISSUANCE COSTS</t>
  </si>
  <si>
    <t>DISTRICT RETIREE HEALTH CONTRIBUTION</t>
  </si>
  <si>
    <t>DEBT SERVICE - REPAYMENT OF REVENUE BONDS</t>
  </si>
  <si>
    <t>Baseball Dedicated Tax Transfer***</t>
  </si>
  <si>
    <t>BASEBALL TRANSFER - DEDICATED TAXES</t>
  </si>
  <si>
    <t>EMERGENCY PLANNING &amp; SECURITY FUND</t>
  </si>
  <si>
    <t>TIF and PILOT Transfer - Dedicated Taxes****</t>
  </si>
  <si>
    <t>TIF &amp; PILOT TRANSFER - DED TAXES</t>
  </si>
  <si>
    <t>HIGHWAY TRUST FUND TRANSFER - DED TAXES</t>
  </si>
  <si>
    <t>CONVENTION CENTER TRANSFER - DED TAXES</t>
  </si>
  <si>
    <t>***Prior to FY2013 this was in Finance; starting FY13 in Enterprise</t>
  </si>
  <si>
    <t>Has not completed FY10 budget formulation submission - not included in baseline budget</t>
  </si>
  <si>
    <t>****In FY13 budget, this was moved to enterprise chapter as special revenue fund.</t>
  </si>
  <si>
    <t>Fiscal Year</t>
  </si>
  <si>
    <t>REPRESENTS CPI-U FOR FISCAL YEARS</t>
  </si>
  <si>
    <t>In some instances, money is shifted from one agency to another. This can make it appear that funds for an agency have significantly increased or decreased when in fact the change doesn't represent a change in services or programs. In order to make more meaningful year to year comparisons, DCFPI will tranfer back in funds that were shifted out in this spreadsheet, or back the funds out from prior years.  The notes below list the transfers we identified in the budget in FY 2015 and how we accounted for them in this spreadsheet.</t>
  </si>
  <si>
    <t>Inaugural Expenses</t>
  </si>
  <si>
    <t>actual</t>
  </si>
  <si>
    <t>this was shifted to Repayment of Loans and Interest</t>
  </si>
  <si>
    <t>AMT</t>
  </si>
  <si>
    <t>Reason</t>
  </si>
  <si>
    <t xml:space="preserve">Office of the Mayor </t>
  </si>
  <si>
    <t>For the transfer in from the Office of the Senior Advisor</t>
  </si>
  <si>
    <t>Transfer out of Office of Policy and Legislative Affairs to OSA and transfer out of employees of Office of Budget and Finance to Office of City Admin</t>
  </si>
  <si>
    <t>Mayor's Office of Legal Council</t>
  </si>
  <si>
    <t xml:space="preserve">Office of the legal council </t>
  </si>
  <si>
    <t>Created from Office of the Mayor</t>
  </si>
  <si>
    <t>Office of the Senior Advisor</t>
  </si>
  <si>
    <t>Created from Office of the Mayor and Office of the Secretary</t>
  </si>
  <si>
    <t>Office of Secretary (Disolved)</t>
  </si>
  <si>
    <t>Funding and employees transferred to Office of Senior Advisor</t>
  </si>
  <si>
    <t>Office of City Admin</t>
  </si>
  <si>
    <t>Transfer from DM Public Safety and Justice and EOM</t>
  </si>
  <si>
    <t>Deputy Mayor for Greater Economic Opportunity</t>
  </si>
  <si>
    <t>Justice Grants Administration^^^</t>
  </si>
  <si>
    <t>^^^ JGA is under Office of Victim Services, as of FY16 (?)</t>
  </si>
  <si>
    <t>sect 103 judgments</t>
  </si>
  <si>
    <t>note new agency</t>
  </si>
  <si>
    <t>check</t>
  </si>
  <si>
    <t>Statehood Initiative</t>
  </si>
  <si>
    <t>DDOT</t>
  </si>
  <si>
    <t>Transfer to OCP</t>
  </si>
  <si>
    <t>Transfer from DDOT</t>
  </si>
  <si>
    <t>WMATA</t>
  </si>
  <si>
    <t>Transfer to DC Taxicab Commission to support Paratransit program</t>
  </si>
  <si>
    <t>DC Taxicab Commission</t>
  </si>
  <si>
    <t>Transfer from WMATA to support Paratransit program</t>
  </si>
  <si>
    <t>Health Benefit Exchange Authority</t>
  </si>
  <si>
    <t>Per Wes, Not-for Profit Hospital Corporation Subsidy used to be an Enterprise Fund so not listed in spreadsheet. FY 2015 approved &amp; FY 2016 proposed budgets $0--Kate 4/3/2015</t>
  </si>
</sst>
</file>

<file path=xl/styles.xml><?xml version="1.0" encoding="utf-8"?>
<styleSheet xmlns="http://schemas.openxmlformats.org/spreadsheetml/2006/main" xmlns:mc="http://schemas.openxmlformats.org/markup-compatibility/2006" xmlns:x14ac="http://schemas.microsoft.com/office/spreadsheetml/2009/9/ac" mc:Ignorable="x14ac">
  <numFmts count="13">
    <numFmt numFmtId="6" formatCode="&quot;$&quot;#,##0_);[Red]\(&quot;$&quot;#,##0\)"/>
    <numFmt numFmtId="8" formatCode="&quot;$&quot;#,##0.00_);[Red]\(&quot;$&quot;#,##0.00\)"/>
    <numFmt numFmtId="44" formatCode="_(&quot;$&quot;* #,##0.00_);_(&quot;$&quot;* \(#,##0.00\);_(&quot;$&quot;* &quot;-&quot;??_);_(@_)"/>
    <numFmt numFmtId="43" formatCode="_(* #,##0.00_);_(* \(#,##0.00\);_(* &quot;-&quot;??_);_(@_)"/>
    <numFmt numFmtId="164" formatCode="0.0%"/>
    <numFmt numFmtId="165" formatCode="&quot;$&quot;#,##0"/>
    <numFmt numFmtId="166" formatCode="&quot;$&quot;#,##0;[Red]&quot;$&quot;#,##0"/>
    <numFmt numFmtId="167" formatCode="#,##0.0"/>
    <numFmt numFmtId="168" formatCode="&quot;$&quot;#,##0.0000"/>
    <numFmt numFmtId="169" formatCode="0.000%"/>
    <numFmt numFmtId="170" formatCode="0.0"/>
    <numFmt numFmtId="171" formatCode="&quot;$&quot;#,##0.000"/>
    <numFmt numFmtId="172" formatCode="&quot;$&quot;#,##0.00"/>
  </numFmts>
  <fonts count="37" x14ac:knownFonts="1">
    <font>
      <sz val="10"/>
      <name val="Arial"/>
    </font>
    <font>
      <sz val="11"/>
      <color theme="1"/>
      <name val="Calibri"/>
      <family val="2"/>
      <scheme val="minor"/>
    </font>
    <font>
      <sz val="11"/>
      <color theme="1"/>
      <name val="Calibri"/>
      <family val="2"/>
      <scheme val="minor"/>
    </font>
    <font>
      <sz val="10"/>
      <name val="Arial"/>
      <family val="2"/>
    </font>
    <font>
      <b/>
      <sz val="14"/>
      <name val="Arial"/>
      <family val="2"/>
    </font>
    <font>
      <sz val="14"/>
      <name val="Arial"/>
      <family val="2"/>
    </font>
    <font>
      <sz val="12"/>
      <name val="Arial"/>
      <family val="2"/>
    </font>
    <font>
      <b/>
      <sz val="18"/>
      <name val="Arial"/>
      <family val="2"/>
    </font>
    <font>
      <sz val="10"/>
      <name val="Arial"/>
      <family val="2"/>
    </font>
    <font>
      <sz val="8"/>
      <name val="Arial"/>
      <family val="2"/>
    </font>
    <font>
      <b/>
      <sz val="10"/>
      <name val="Arial"/>
      <family val="2"/>
    </font>
    <font>
      <i/>
      <sz val="10"/>
      <name val="Arial"/>
      <family val="2"/>
    </font>
    <font>
      <sz val="10"/>
      <name val="Arial"/>
      <family val="2"/>
    </font>
    <font>
      <sz val="10"/>
      <name val="Times New Roman"/>
      <family val="1"/>
    </font>
    <font>
      <sz val="11"/>
      <name val="Calibri"/>
      <family val="2"/>
    </font>
    <font>
      <sz val="9"/>
      <color indexed="81"/>
      <name val="Tahoma"/>
      <family val="2"/>
    </font>
    <font>
      <b/>
      <sz val="9"/>
      <color indexed="81"/>
      <name val="Tahoma"/>
      <family val="2"/>
    </font>
    <font>
      <sz val="10"/>
      <color rgb="FF7030A0"/>
      <name val="Arial"/>
      <family val="2"/>
    </font>
    <font>
      <sz val="11"/>
      <name val="Calibri"/>
      <family val="2"/>
      <scheme val="minor"/>
    </font>
    <font>
      <b/>
      <sz val="11"/>
      <name val="Calibri"/>
      <family val="2"/>
      <scheme val="minor"/>
    </font>
    <font>
      <sz val="11"/>
      <color rgb="FFFF0000"/>
      <name val="Calibri"/>
      <family val="2"/>
      <scheme val="minor"/>
    </font>
    <font>
      <b/>
      <sz val="11"/>
      <color theme="1"/>
      <name val="Calibri"/>
      <family val="2"/>
      <scheme val="minor"/>
    </font>
    <font>
      <b/>
      <sz val="18"/>
      <name val="Calibri"/>
      <family val="2"/>
      <scheme val="minor"/>
    </font>
    <font>
      <sz val="10"/>
      <name val="Calibri"/>
      <family val="2"/>
      <scheme val="minor"/>
    </font>
    <font>
      <b/>
      <sz val="14"/>
      <name val="Calibri"/>
      <family val="2"/>
      <scheme val="minor"/>
    </font>
    <font>
      <sz val="14"/>
      <name val="Calibri"/>
      <family val="2"/>
      <scheme val="minor"/>
    </font>
    <font>
      <b/>
      <sz val="10"/>
      <name val="Calibri"/>
      <family val="2"/>
      <scheme val="minor"/>
    </font>
    <font>
      <sz val="12"/>
      <name val="Calibri"/>
      <family val="2"/>
      <scheme val="minor"/>
    </font>
    <font>
      <i/>
      <sz val="11"/>
      <name val="Calibri"/>
      <family val="2"/>
      <scheme val="minor"/>
    </font>
    <font>
      <b/>
      <sz val="11"/>
      <color rgb="FFFF0000"/>
      <name val="Calibri"/>
      <family val="2"/>
      <scheme val="minor"/>
    </font>
    <font>
      <sz val="11"/>
      <color indexed="8"/>
      <name val="Calibri"/>
      <family val="2"/>
      <scheme val="minor"/>
    </font>
    <font>
      <sz val="11"/>
      <color rgb="FF7030A0"/>
      <name val="Calibri"/>
      <family val="2"/>
      <scheme val="minor"/>
    </font>
    <font>
      <sz val="11"/>
      <name val="Calibri"/>
      <family val="2"/>
    </font>
    <font>
      <b/>
      <sz val="11"/>
      <name val="Calibri"/>
      <family val="2"/>
    </font>
    <font>
      <sz val="9"/>
      <color indexed="81"/>
      <name val="Tahoma"/>
      <charset val="1"/>
    </font>
    <font>
      <b/>
      <sz val="9"/>
      <color indexed="81"/>
      <name val="Tahoma"/>
      <charset val="1"/>
    </font>
    <font>
      <sz val="11"/>
      <name val="Calibri"/>
      <scheme val="minor"/>
    </font>
  </fonts>
  <fills count="19">
    <fill>
      <patternFill patternType="none"/>
    </fill>
    <fill>
      <patternFill patternType="gray125"/>
    </fill>
    <fill>
      <patternFill patternType="solid">
        <fgColor indexed="41"/>
        <bgColor indexed="64"/>
      </patternFill>
    </fill>
    <fill>
      <patternFill patternType="solid">
        <fgColor indexed="49"/>
        <bgColor indexed="64"/>
      </patternFill>
    </fill>
    <fill>
      <patternFill patternType="solid">
        <fgColor theme="0" tint="-0.249977111117893"/>
        <bgColor indexed="64"/>
      </patternFill>
    </fill>
    <fill>
      <patternFill patternType="solid">
        <fgColor rgb="FF00BCB8"/>
        <bgColor indexed="64"/>
      </patternFill>
    </fill>
    <fill>
      <patternFill patternType="solid">
        <fgColor theme="3" tint="0.59999389629810485"/>
        <bgColor indexed="64"/>
      </patternFill>
    </fill>
    <fill>
      <patternFill patternType="solid">
        <fgColor theme="5" tint="0.59999389629810485"/>
        <bgColor indexed="64"/>
      </patternFill>
    </fill>
    <fill>
      <patternFill patternType="solid">
        <fgColor rgb="FFFFFF00"/>
        <bgColor indexed="64"/>
      </patternFill>
    </fill>
    <fill>
      <patternFill patternType="solid">
        <fgColor theme="0"/>
        <bgColor indexed="64"/>
      </patternFill>
    </fill>
    <fill>
      <patternFill patternType="solid">
        <fgColor theme="0" tint="-0.24994659260841701"/>
        <bgColor indexed="64"/>
      </patternFill>
    </fill>
    <fill>
      <patternFill patternType="solid">
        <fgColor theme="8" tint="0.59999389629810485"/>
        <bgColor indexed="64"/>
      </patternFill>
    </fill>
    <fill>
      <patternFill patternType="solid">
        <fgColor theme="3" tint="0.79998168889431442"/>
        <bgColor indexed="64"/>
      </patternFill>
    </fill>
    <fill>
      <patternFill patternType="solid">
        <fgColor theme="4" tint="0.59999389629810485"/>
        <bgColor indexed="64"/>
      </patternFill>
    </fill>
    <fill>
      <patternFill patternType="solid">
        <fgColor theme="8" tint="0.39997558519241921"/>
        <bgColor indexed="64"/>
      </patternFill>
    </fill>
    <fill>
      <patternFill patternType="solid">
        <fgColor rgb="FFBFBFBF"/>
        <bgColor indexed="64"/>
      </patternFill>
    </fill>
    <fill>
      <patternFill patternType="solid">
        <fgColor rgb="FFC6D9F0"/>
        <bgColor indexed="64"/>
      </patternFill>
    </fill>
    <fill>
      <patternFill patternType="solid">
        <fgColor rgb="FFB7DDE8"/>
        <bgColor indexed="64"/>
      </patternFill>
    </fill>
    <fill>
      <patternFill patternType="solid">
        <fgColor rgb="FF8DB3E2"/>
        <bgColor indexed="64"/>
      </patternFill>
    </fill>
  </fills>
  <borders count="40">
    <border>
      <left/>
      <right/>
      <top/>
      <bottom/>
      <diagonal/>
    </border>
    <border>
      <left/>
      <right/>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diagonal/>
    </border>
    <border>
      <left/>
      <right style="medium">
        <color indexed="64"/>
      </right>
      <top style="medium">
        <color indexed="64"/>
      </top>
      <bottom style="medium">
        <color indexed="64"/>
      </bottom>
      <diagonal/>
    </border>
    <border>
      <left style="medium">
        <color indexed="64"/>
      </left>
      <right/>
      <top/>
      <bottom/>
      <diagonal/>
    </border>
    <border>
      <left style="medium">
        <color indexed="64"/>
      </left>
      <right/>
      <top/>
      <bottom style="medium">
        <color indexed="64"/>
      </bottom>
      <diagonal/>
    </border>
    <border>
      <left style="medium">
        <color indexed="64"/>
      </left>
      <right style="medium">
        <color indexed="64"/>
      </right>
      <top style="medium">
        <color indexed="64"/>
      </top>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right/>
      <top style="medium">
        <color indexed="64"/>
      </top>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right style="medium">
        <color indexed="64"/>
      </right>
      <top style="medium">
        <color indexed="64"/>
      </top>
      <bottom/>
      <diagonal/>
    </border>
    <border>
      <left style="medium">
        <color indexed="64"/>
      </left>
      <right/>
      <top style="medium">
        <color indexed="64"/>
      </top>
      <bottom/>
      <diagonal/>
    </border>
    <border>
      <left/>
      <right/>
      <top style="medium">
        <color indexed="64"/>
      </top>
      <bottom style="medium">
        <color indexed="64"/>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style="medium">
        <color indexed="64"/>
      </right>
      <top style="thin">
        <color indexed="64"/>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style="thin">
        <color indexed="64"/>
      </right>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right/>
      <top style="thin">
        <color indexed="64"/>
      </top>
      <bottom style="thin">
        <color indexed="64"/>
      </bottom>
      <diagonal/>
    </border>
  </borders>
  <cellStyleXfs count="11">
    <xf numFmtId="0" fontId="0" fillId="0" borderId="0"/>
    <xf numFmtId="43" fontId="3" fillId="0" borderId="0" applyFont="0" applyFill="0" applyBorder="0" applyAlignment="0" applyProtection="0"/>
    <xf numFmtId="44" fontId="3" fillId="0" borderId="0" applyFont="0" applyFill="0" applyBorder="0" applyAlignment="0" applyProtection="0"/>
    <xf numFmtId="0" fontId="12" fillId="0" borderId="0"/>
    <xf numFmtId="0" fontId="13" fillId="0" borderId="0"/>
    <xf numFmtId="9" fontId="3" fillId="0" borderId="0" applyFont="0" applyFill="0" applyBorder="0" applyAlignment="0" applyProtection="0"/>
    <xf numFmtId="0" fontId="1"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cellStyleXfs>
  <cellXfs count="840">
    <xf numFmtId="0" fontId="0" fillId="0" borderId="0" xfId="0"/>
    <xf numFmtId="0" fontId="6" fillId="0" borderId="0" xfId="0" applyFont="1"/>
    <xf numFmtId="0" fontId="7" fillId="0" borderId="0" xfId="0" applyFont="1"/>
    <xf numFmtId="0" fontId="5" fillId="0" borderId="0" xfId="0" applyFont="1" applyFill="1" applyBorder="1"/>
    <xf numFmtId="0" fontId="0" fillId="0" borderId="1" xfId="0" applyBorder="1"/>
    <xf numFmtId="0" fontId="0" fillId="0" borderId="0" xfId="0" applyFill="1"/>
    <xf numFmtId="0" fontId="0" fillId="0" borderId="0" xfId="0" applyBorder="1"/>
    <xf numFmtId="0" fontId="0" fillId="0" borderId="0" xfId="0" applyFill="1" applyBorder="1"/>
    <xf numFmtId="6" fontId="0" fillId="0" borderId="0" xfId="0" applyNumberFormat="1"/>
    <xf numFmtId="6" fontId="0" fillId="0" borderId="0" xfId="0" applyNumberFormat="1" applyFill="1" applyBorder="1"/>
    <xf numFmtId="6" fontId="10" fillId="0" borderId="0" xfId="0" applyNumberFormat="1" applyFont="1"/>
    <xf numFmtId="0" fontId="10" fillId="0" borderId="0" xfId="0" applyFont="1"/>
    <xf numFmtId="10" fontId="0" fillId="0" borderId="0" xfId="0" applyNumberFormat="1"/>
    <xf numFmtId="10" fontId="0" fillId="0" borderId="1" xfId="0" applyNumberFormat="1" applyBorder="1"/>
    <xf numFmtId="10" fontId="0" fillId="0" borderId="0" xfId="0" applyNumberFormat="1" applyBorder="1"/>
    <xf numFmtId="0" fontId="10" fillId="0" borderId="0" xfId="0" applyFont="1" applyFill="1"/>
    <xf numFmtId="0" fontId="6" fillId="0" borderId="0" xfId="0" applyFont="1" applyFill="1" applyBorder="1"/>
    <xf numFmtId="3" fontId="0" fillId="0" borderId="0" xfId="0" applyNumberFormat="1"/>
    <xf numFmtId="3" fontId="0" fillId="0" borderId="0" xfId="0" applyNumberFormat="1" applyFill="1" applyBorder="1"/>
    <xf numFmtId="164" fontId="0" fillId="0" borderId="0" xfId="0" applyNumberFormat="1"/>
    <xf numFmtId="165" fontId="0" fillId="0" borderId="0" xfId="0" applyNumberFormat="1" applyFill="1" applyBorder="1"/>
    <xf numFmtId="10" fontId="6" fillId="0" borderId="0" xfId="0" applyNumberFormat="1" applyFont="1"/>
    <xf numFmtId="6" fontId="10" fillId="0" borderId="0" xfId="0" applyNumberFormat="1" applyFont="1" applyBorder="1"/>
    <xf numFmtId="0" fontId="4" fillId="0" borderId="0" xfId="0" applyFont="1" applyFill="1" applyBorder="1"/>
    <xf numFmtId="0" fontId="8" fillId="0" borderId="0" xfId="0" applyFont="1"/>
    <xf numFmtId="6" fontId="8" fillId="0" borderId="0" xfId="0" applyNumberFormat="1" applyFont="1"/>
    <xf numFmtId="6" fontId="10" fillId="2" borderId="2" xfId="0" applyNumberFormat="1" applyFont="1" applyFill="1" applyBorder="1" applyAlignment="1">
      <alignment horizontal="center"/>
    </xf>
    <xf numFmtId="0" fontId="10" fillId="0" borderId="0" xfId="0" applyFont="1" applyBorder="1"/>
    <xf numFmtId="0" fontId="11" fillId="0" borderId="0" xfId="0" applyFont="1" applyBorder="1"/>
    <xf numFmtId="0" fontId="11" fillId="0" borderId="0" xfId="0" applyFont="1"/>
    <xf numFmtId="0" fontId="10" fillId="0" borderId="0" xfId="0" applyFont="1" applyFill="1" applyBorder="1"/>
    <xf numFmtId="9" fontId="10" fillId="0" borderId="0" xfId="0" applyNumberFormat="1" applyFont="1"/>
    <xf numFmtId="9" fontId="8" fillId="0" borderId="0" xfId="0" applyNumberFormat="1" applyFont="1"/>
    <xf numFmtId="9" fontId="0" fillId="0" borderId="0" xfId="0" applyNumberFormat="1"/>
    <xf numFmtId="0" fontId="10" fillId="4" borderId="6" xfId="0" applyFont="1" applyFill="1" applyBorder="1"/>
    <xf numFmtId="0" fontId="0" fillId="4" borderId="0" xfId="0" applyFill="1"/>
    <xf numFmtId="0" fontId="10" fillId="4" borderId="0" xfId="0" applyFont="1" applyFill="1" applyBorder="1"/>
    <xf numFmtId="6" fontId="10" fillId="4" borderId="0" xfId="0" applyNumberFormat="1" applyFont="1" applyFill="1"/>
    <xf numFmtId="9" fontId="10" fillId="4" borderId="0" xfId="0" applyNumberFormat="1" applyFont="1" applyFill="1"/>
    <xf numFmtId="6" fontId="10" fillId="0" borderId="0" xfId="0" applyNumberFormat="1" applyFont="1" applyFill="1"/>
    <xf numFmtId="6" fontId="10" fillId="4" borderId="0" xfId="0" applyNumberFormat="1" applyFont="1" applyFill="1" applyBorder="1"/>
    <xf numFmtId="0" fontId="10" fillId="0" borderId="2" xfId="0" applyFont="1" applyFill="1" applyBorder="1"/>
    <xf numFmtId="9" fontId="10" fillId="0" borderId="0" xfId="5" applyFont="1"/>
    <xf numFmtId="9" fontId="10" fillId="4" borderId="0" xfId="5" applyFont="1" applyFill="1"/>
    <xf numFmtId="6" fontId="10" fillId="2" borderId="3" xfId="0" applyNumberFormat="1" applyFont="1" applyFill="1" applyBorder="1" applyAlignment="1">
      <alignment horizontal="center"/>
    </xf>
    <xf numFmtId="9" fontId="10" fillId="2" borderId="2" xfId="0" applyNumberFormat="1" applyFont="1" applyFill="1" applyBorder="1" applyAlignment="1">
      <alignment horizontal="center"/>
    </xf>
    <xf numFmtId="6" fontId="10" fillId="3" borderId="7" xfId="0" applyNumberFormat="1" applyFont="1" applyFill="1" applyBorder="1" applyAlignment="1">
      <alignment horizontal="center"/>
    </xf>
    <xf numFmtId="9" fontId="10" fillId="3" borderId="7" xfId="0" applyNumberFormat="1" applyFont="1" applyFill="1" applyBorder="1" applyAlignment="1">
      <alignment horizontal="center"/>
    </xf>
    <xf numFmtId="0" fontId="10" fillId="4" borderId="1" xfId="0" applyFont="1" applyFill="1" applyBorder="1"/>
    <xf numFmtId="0" fontId="0" fillId="4" borderId="1" xfId="0" applyFill="1" applyBorder="1"/>
    <xf numFmtId="6" fontId="10" fillId="0" borderId="0" xfId="2" applyNumberFormat="1" applyFont="1"/>
    <xf numFmtId="0" fontId="8" fillId="4" borderId="1" xfId="0" applyFont="1" applyFill="1" applyBorder="1"/>
    <xf numFmtId="6" fontId="10" fillId="3" borderId="7" xfId="0" applyNumberFormat="1" applyFont="1" applyFill="1" applyBorder="1" applyAlignment="1">
      <alignment horizontal="center" wrapText="1"/>
    </xf>
    <xf numFmtId="6" fontId="3" fillId="0" borderId="0" xfId="0" applyNumberFormat="1" applyFont="1" applyFill="1"/>
    <xf numFmtId="6" fontId="3" fillId="0" borderId="0" xfId="0" applyNumberFormat="1" applyFont="1" applyFill="1" applyBorder="1"/>
    <xf numFmtId="6" fontId="17" fillId="0" borderId="0" xfId="0" applyNumberFormat="1" applyFont="1" applyFill="1"/>
    <xf numFmtId="3" fontId="3" fillId="0" borderId="0" xfId="0" applyNumberFormat="1" applyFont="1"/>
    <xf numFmtId="0" fontId="3" fillId="0" borderId="0" xfId="0" applyFont="1"/>
    <xf numFmtId="0" fontId="0" fillId="0" borderId="0" xfId="0" applyAlignment="1">
      <alignment horizontal="left" vertical="center"/>
    </xf>
    <xf numFmtId="0" fontId="0" fillId="0" borderId="0" xfId="0" applyAlignment="1">
      <alignment horizontal="left" vertical="center" wrapText="1"/>
    </xf>
    <xf numFmtId="0" fontId="10" fillId="4" borderId="0" xfId="0" applyFont="1" applyFill="1"/>
    <xf numFmtId="0" fontId="0" fillId="0" borderId="0" xfId="0" applyFont="1"/>
    <xf numFmtId="0" fontId="7" fillId="0" borderId="1" xfId="0" applyFont="1" applyBorder="1"/>
    <xf numFmtId="0" fontId="0" fillId="0" borderId="1" xfId="0" applyFill="1" applyBorder="1"/>
    <xf numFmtId="0" fontId="18" fillId="0" borderId="0" xfId="0" applyFont="1" applyAlignment="1">
      <alignment horizontal="left" indent="2"/>
    </xf>
    <xf numFmtId="0" fontId="19" fillId="0" borderId="0" xfId="0" applyFont="1"/>
    <xf numFmtId="0" fontId="18" fillId="0" borderId="0" xfId="0" applyFont="1"/>
    <xf numFmtId="171" fontId="18" fillId="0" borderId="0" xfId="0" applyNumberFormat="1" applyFont="1"/>
    <xf numFmtId="0" fontId="18" fillId="0" borderId="0" xfId="0" applyFont="1" applyFill="1" applyBorder="1"/>
    <xf numFmtId="167" fontId="6" fillId="0" borderId="0" xfId="0" applyNumberFormat="1" applyFont="1"/>
    <xf numFmtId="9" fontId="6" fillId="0" borderId="0" xfId="5" applyFont="1"/>
    <xf numFmtId="0" fontId="14" fillId="0" borderId="0" xfId="0" applyFont="1" applyAlignment="1">
      <alignment horizontal="left" vertical="top" indent="2"/>
    </xf>
    <xf numFmtId="4" fontId="0" fillId="0" borderId="0" xfId="0" applyNumberFormat="1"/>
    <xf numFmtId="0" fontId="22" fillId="0" borderId="0" xfId="0" applyFont="1"/>
    <xf numFmtId="0" fontId="22" fillId="0" borderId="1" xfId="0" applyFont="1" applyBorder="1"/>
    <xf numFmtId="0" fontId="23" fillId="5" borderId="4" xfId="0" applyFont="1" applyFill="1" applyBorder="1"/>
    <xf numFmtId="0" fontId="24" fillId="5" borderId="2" xfId="0" applyFont="1" applyFill="1" applyBorder="1"/>
    <xf numFmtId="0" fontId="25" fillId="0" borderId="3" xfId="0" applyFont="1" applyFill="1" applyBorder="1"/>
    <xf numFmtId="0" fontId="25" fillId="4" borderId="3" xfId="0" applyFont="1" applyFill="1" applyBorder="1"/>
    <xf numFmtId="0" fontId="25" fillId="0" borderId="2" xfId="0" applyFont="1" applyFill="1" applyBorder="1"/>
    <xf numFmtId="0" fontId="24" fillId="4" borderId="2" xfId="0" applyFont="1" applyFill="1" applyBorder="1"/>
    <xf numFmtId="0" fontId="24" fillId="6" borderId="4" xfId="0" applyFont="1" applyFill="1" applyBorder="1" applyAlignment="1">
      <alignment horizontal="center"/>
    </xf>
    <xf numFmtId="0" fontId="24" fillId="5" borderId="4" xfId="0" applyFont="1" applyFill="1" applyBorder="1" applyAlignment="1">
      <alignment horizontal="center"/>
    </xf>
    <xf numFmtId="0" fontId="24" fillId="5" borderId="4" xfId="0" applyFont="1" applyFill="1" applyBorder="1"/>
    <xf numFmtId="0" fontId="24" fillId="6" borderId="4" xfId="0" applyFont="1" applyFill="1" applyBorder="1" applyAlignment="1">
      <alignment horizontal="left"/>
    </xf>
    <xf numFmtId="0" fontId="24" fillId="5" borderId="8" xfId="0" applyFont="1" applyFill="1" applyBorder="1"/>
    <xf numFmtId="166" fontId="24" fillId="5" borderId="4" xfId="0" applyNumberFormat="1" applyFont="1" applyFill="1" applyBorder="1" applyAlignment="1">
      <alignment horizontal="center"/>
    </xf>
    <xf numFmtId="166" fontId="24" fillId="6" borderId="4" xfId="0" applyNumberFormat="1" applyFont="1" applyFill="1" applyBorder="1" applyAlignment="1">
      <alignment horizontal="center"/>
    </xf>
    <xf numFmtId="166" fontId="24" fillId="5" borderId="8" xfId="0" applyNumberFormat="1" applyFont="1" applyFill="1" applyBorder="1" applyAlignment="1">
      <alignment horizontal="center" wrapText="1"/>
    </xf>
    <xf numFmtId="0" fontId="24" fillId="6" borderId="0" xfId="0" applyFont="1" applyFill="1" applyAlignment="1">
      <alignment horizontal="center"/>
    </xf>
    <xf numFmtId="0" fontId="24" fillId="6" borderId="10" xfId="0" applyFont="1" applyFill="1" applyBorder="1"/>
    <xf numFmtId="0" fontId="24" fillId="6" borderId="5" xfId="0" applyFont="1" applyFill="1" applyBorder="1"/>
    <xf numFmtId="166" fontId="24" fillId="5" borderId="19" xfId="0" applyNumberFormat="1" applyFont="1" applyFill="1" applyBorder="1" applyAlignment="1">
      <alignment horizontal="center" vertical="center" wrapText="1"/>
    </xf>
    <xf numFmtId="0" fontId="24" fillId="5" borderId="10" xfId="0" applyFont="1" applyFill="1" applyBorder="1" applyAlignment="1">
      <alignment horizontal="center" vertical="center" wrapText="1"/>
    </xf>
    <xf numFmtId="0" fontId="24" fillId="5" borderId="20" xfId="0" applyFont="1" applyFill="1" applyBorder="1" applyAlignment="1">
      <alignment horizontal="center"/>
    </xf>
    <xf numFmtId="0" fontId="23" fillId="0" borderId="0" xfId="0" applyFont="1" applyFill="1"/>
    <xf numFmtId="0" fontId="23" fillId="0" borderId="0" xfId="0" applyFont="1"/>
    <xf numFmtId="0" fontId="24" fillId="6" borderId="2" xfId="0" applyFont="1" applyFill="1" applyBorder="1" applyAlignment="1">
      <alignment horizontal="center"/>
    </xf>
    <xf numFmtId="0" fontId="24" fillId="5" borderId="2" xfId="0" applyFont="1" applyFill="1" applyBorder="1" applyAlignment="1">
      <alignment horizontal="center"/>
    </xf>
    <xf numFmtId="0" fontId="24" fillId="5" borderId="3" xfId="0" applyFont="1" applyFill="1" applyBorder="1" applyAlignment="1">
      <alignment horizontal="center"/>
    </xf>
    <xf numFmtId="0" fontId="24" fillId="6" borderId="3" xfId="0" applyFont="1" applyFill="1" applyBorder="1" applyAlignment="1">
      <alignment horizontal="center"/>
    </xf>
    <xf numFmtId="0" fontId="24" fillId="6" borderId="9" xfId="0" applyFont="1" applyFill="1" applyBorder="1" applyAlignment="1">
      <alignment horizontal="center"/>
    </xf>
    <xf numFmtId="0" fontId="24" fillId="5" borderId="7" xfId="0" applyFont="1" applyFill="1" applyBorder="1" applyAlignment="1">
      <alignment horizontal="center"/>
    </xf>
    <xf numFmtId="10" fontId="24" fillId="5" borderId="3" xfId="0" applyNumberFormat="1" applyFont="1" applyFill="1" applyBorder="1" applyAlignment="1">
      <alignment horizontal="center"/>
    </xf>
    <xf numFmtId="0" fontId="24" fillId="6" borderId="7" xfId="0" applyFont="1" applyFill="1" applyBorder="1" applyAlignment="1">
      <alignment horizontal="center"/>
    </xf>
    <xf numFmtId="10" fontId="24" fillId="6" borderId="3" xfId="0" applyNumberFormat="1" applyFont="1" applyFill="1" applyBorder="1" applyAlignment="1">
      <alignment horizontal="center"/>
    </xf>
    <xf numFmtId="166" fontId="24" fillId="5" borderId="2" xfId="0" applyNumberFormat="1" applyFont="1" applyFill="1" applyBorder="1" applyAlignment="1">
      <alignment horizontal="center"/>
    </xf>
    <xf numFmtId="166" fontId="24" fillId="6" borderId="2" xfId="0" applyNumberFormat="1" applyFont="1" applyFill="1" applyBorder="1" applyAlignment="1">
      <alignment horizontal="center"/>
    </xf>
    <xf numFmtId="166" fontId="24" fillId="5" borderId="2" xfId="0" applyNumberFormat="1" applyFont="1" applyFill="1" applyBorder="1" applyAlignment="1">
      <alignment horizontal="center" wrapText="1"/>
    </xf>
    <xf numFmtId="0" fontId="24" fillId="5" borderId="0" xfId="0" applyFont="1" applyFill="1" applyBorder="1" applyAlignment="1">
      <alignment horizontal="center"/>
    </xf>
    <xf numFmtId="10" fontId="24" fillId="6" borderId="5" xfId="0" applyNumberFormat="1" applyFont="1" applyFill="1" applyBorder="1" applyAlignment="1">
      <alignment horizontal="center"/>
    </xf>
    <xf numFmtId="0" fontId="24" fillId="5" borderId="6" xfId="0" applyFont="1" applyFill="1" applyBorder="1" applyAlignment="1">
      <alignment horizontal="center"/>
    </xf>
    <xf numFmtId="10" fontId="24" fillId="5" borderId="19" xfId="0" applyNumberFormat="1" applyFont="1" applyFill="1" applyBorder="1" applyAlignment="1">
      <alignment horizontal="center"/>
    </xf>
    <xf numFmtId="6" fontId="18" fillId="0" borderId="3" xfId="0" applyNumberFormat="1" applyFont="1" applyFill="1" applyBorder="1"/>
    <xf numFmtId="164" fontId="18" fillId="0" borderId="3" xfId="0" applyNumberFormat="1" applyFont="1" applyFill="1" applyBorder="1"/>
    <xf numFmtId="6" fontId="18" fillId="0" borderId="5" xfId="0" applyNumberFormat="1" applyFont="1" applyFill="1" applyBorder="1"/>
    <xf numFmtId="164" fontId="18" fillId="0" borderId="5" xfId="0" applyNumberFormat="1" applyFont="1" applyFill="1" applyBorder="1"/>
    <xf numFmtId="165" fontId="18" fillId="0" borderId="5" xfId="0" applyNumberFormat="1" applyFont="1" applyFill="1" applyBorder="1"/>
    <xf numFmtId="3" fontId="18" fillId="0" borderId="9" xfId="0" applyNumberFormat="1" applyFont="1" applyFill="1" applyBorder="1"/>
    <xf numFmtId="3" fontId="18" fillId="0" borderId="5" xfId="0" applyNumberFormat="1" applyFont="1" applyFill="1" applyBorder="1"/>
    <xf numFmtId="3" fontId="18" fillId="0" borderId="20" xfId="0" applyNumberFormat="1" applyFont="1" applyFill="1" applyBorder="1"/>
    <xf numFmtId="3" fontId="18" fillId="0" borderId="3" xfId="0" applyNumberFormat="1" applyFont="1" applyFill="1" applyBorder="1"/>
    <xf numFmtId="165" fontId="18" fillId="0" borderId="3" xfId="0" applyNumberFormat="1" applyFont="1" applyFill="1" applyBorder="1"/>
    <xf numFmtId="6" fontId="18" fillId="4" borderId="3" xfId="0" applyNumberFormat="1" applyFont="1" applyFill="1" applyBorder="1"/>
    <xf numFmtId="164" fontId="18" fillId="4" borderId="3" xfId="0" applyNumberFormat="1" applyFont="1" applyFill="1" applyBorder="1"/>
    <xf numFmtId="6" fontId="18" fillId="4" borderId="2" xfId="0" applyNumberFormat="1" applyFont="1" applyFill="1" applyBorder="1"/>
    <xf numFmtId="6" fontId="18" fillId="4" borderId="5" xfId="0" applyNumberFormat="1" applyFont="1" applyFill="1" applyBorder="1"/>
    <xf numFmtId="164" fontId="18" fillId="4" borderId="5" xfId="0" applyNumberFormat="1" applyFont="1" applyFill="1" applyBorder="1"/>
    <xf numFmtId="165" fontId="18" fillId="4" borderId="5" xfId="0" applyNumberFormat="1" applyFont="1" applyFill="1" applyBorder="1"/>
    <xf numFmtId="3" fontId="18" fillId="4" borderId="5" xfId="0" applyNumberFormat="1" applyFont="1" applyFill="1" applyBorder="1"/>
    <xf numFmtId="3" fontId="18" fillId="4" borderId="20" xfId="0" applyNumberFormat="1" applyFont="1" applyFill="1" applyBorder="1"/>
    <xf numFmtId="3" fontId="18" fillId="10" borderId="3" xfId="0" applyNumberFormat="1" applyFont="1" applyFill="1" applyBorder="1"/>
    <xf numFmtId="165" fontId="18" fillId="4" borderId="3" xfId="0" applyNumberFormat="1" applyFont="1" applyFill="1" applyBorder="1"/>
    <xf numFmtId="6" fontId="18" fillId="0" borderId="2" xfId="0" applyNumberFormat="1" applyFont="1" applyFill="1" applyBorder="1"/>
    <xf numFmtId="3" fontId="18" fillId="0" borderId="2" xfId="0" applyNumberFormat="1" applyFont="1" applyFill="1" applyBorder="1"/>
    <xf numFmtId="3" fontId="18" fillId="4" borderId="2" xfId="0" applyNumberFormat="1" applyFont="1" applyFill="1" applyBorder="1"/>
    <xf numFmtId="164" fontId="18" fillId="0" borderId="2" xfId="0" applyNumberFormat="1" applyFont="1" applyFill="1" applyBorder="1"/>
    <xf numFmtId="164" fontId="18" fillId="4" borderId="2" xfId="0" applyNumberFormat="1" applyFont="1" applyFill="1" applyBorder="1"/>
    <xf numFmtId="164" fontId="18" fillId="0" borderId="20" xfId="0" applyNumberFormat="1" applyFont="1" applyFill="1" applyBorder="1"/>
    <xf numFmtId="164" fontId="18" fillId="10" borderId="20" xfId="0" applyNumberFormat="1" applyFont="1" applyFill="1" applyBorder="1"/>
    <xf numFmtId="0" fontId="23" fillId="0" borderId="0" xfId="0" applyFont="1" applyAlignment="1">
      <alignment horizontal="left" vertical="center" wrapText="1"/>
    </xf>
    <xf numFmtId="0" fontId="26" fillId="0" borderId="0" xfId="0" applyFont="1" applyFill="1"/>
    <xf numFmtId="0" fontId="18" fillId="0" borderId="0" xfId="0" applyFont="1" applyAlignment="1">
      <alignment horizontal="left" vertical="center"/>
    </xf>
    <xf numFmtId="0" fontId="18" fillId="0" borderId="0" xfId="0" applyFont="1" applyAlignment="1">
      <alignment horizontal="left" vertical="center" wrapText="1"/>
    </xf>
    <xf numFmtId="0" fontId="19" fillId="0" borderId="0" xfId="0" applyFont="1" applyFill="1"/>
    <xf numFmtId="0" fontId="19" fillId="0" borderId="0" xfId="0" applyFont="1" applyAlignment="1">
      <alignment horizontal="left" vertical="center" wrapText="1"/>
    </xf>
    <xf numFmtId="0" fontId="18" fillId="0" borderId="0" xfId="0" applyFont="1" applyFill="1" applyAlignment="1">
      <alignment horizontal="left" vertical="center"/>
    </xf>
    <xf numFmtId="0" fontId="18" fillId="0" borderId="0" xfId="0" applyFont="1" applyFill="1" applyAlignment="1">
      <alignment horizontal="left" vertical="center" wrapText="1"/>
    </xf>
    <xf numFmtId="0" fontId="18" fillId="0" borderId="0" xfId="0" applyFont="1" applyFill="1"/>
    <xf numFmtId="0" fontId="22" fillId="0" borderId="0" xfId="0" applyFont="1" applyAlignment="1">
      <alignment vertical="center"/>
    </xf>
    <xf numFmtId="10" fontId="23" fillId="0" borderId="0" xfId="0" applyNumberFormat="1" applyFont="1"/>
    <xf numFmtId="0" fontId="23" fillId="0" borderId="0" xfId="0" applyFont="1" applyBorder="1"/>
    <xf numFmtId="0" fontId="23" fillId="5" borderId="31" xfId="0" applyFont="1" applyFill="1" applyBorder="1"/>
    <xf numFmtId="0" fontId="24" fillId="5" borderId="10" xfId="0" applyFont="1" applyFill="1" applyBorder="1" applyAlignment="1">
      <alignment horizontal="left"/>
    </xf>
    <xf numFmtId="0" fontId="24" fillId="5" borderId="5" xfId="0" applyFont="1" applyFill="1" applyBorder="1" applyAlignment="1">
      <alignment horizontal="left"/>
    </xf>
    <xf numFmtId="0" fontId="24" fillId="6" borderId="19" xfId="0" applyFont="1" applyFill="1" applyBorder="1" applyAlignment="1">
      <alignment horizontal="left"/>
    </xf>
    <xf numFmtId="0" fontId="24" fillId="6" borderId="8" xfId="0" applyFont="1" applyFill="1" applyBorder="1" applyAlignment="1">
      <alignment horizontal="center"/>
    </xf>
    <xf numFmtId="0" fontId="24" fillId="5" borderId="2" xfId="0" applyFont="1" applyFill="1" applyBorder="1" applyAlignment="1">
      <alignment vertical="center"/>
    </xf>
    <xf numFmtId="0" fontId="24" fillId="6" borderId="16" xfId="0" applyFont="1" applyFill="1" applyBorder="1" applyAlignment="1">
      <alignment horizontal="center"/>
    </xf>
    <xf numFmtId="0" fontId="24" fillId="5" borderId="16" xfId="0" applyFont="1" applyFill="1" applyBorder="1" applyAlignment="1">
      <alignment horizontal="center"/>
    </xf>
    <xf numFmtId="10" fontId="24" fillId="5" borderId="9" xfId="0" applyNumberFormat="1" applyFont="1" applyFill="1" applyBorder="1" applyAlignment="1">
      <alignment horizontal="center"/>
    </xf>
    <xf numFmtId="10" fontId="24" fillId="6" borderId="9" xfId="0" applyNumberFormat="1" applyFont="1" applyFill="1" applyBorder="1" applyAlignment="1">
      <alignment horizontal="center"/>
    </xf>
    <xf numFmtId="0" fontId="24" fillId="6" borderId="17" xfId="0" applyFont="1" applyFill="1" applyBorder="1" applyAlignment="1">
      <alignment horizontal="center"/>
    </xf>
    <xf numFmtId="0" fontId="24" fillId="5" borderId="2" xfId="0" applyFont="1" applyFill="1" applyBorder="1" applyAlignment="1">
      <alignment horizontal="center" vertical="center"/>
    </xf>
    <xf numFmtId="0" fontId="24" fillId="6" borderId="29" xfId="0" applyFont="1" applyFill="1" applyBorder="1" applyAlignment="1">
      <alignment horizontal="center"/>
    </xf>
    <xf numFmtId="0" fontId="24" fillId="6" borderId="30" xfId="0" applyFont="1" applyFill="1" applyBorder="1" applyAlignment="1">
      <alignment horizontal="center"/>
    </xf>
    <xf numFmtId="0" fontId="24" fillId="5" borderId="30" xfId="0" applyFont="1" applyFill="1" applyBorder="1" applyAlignment="1">
      <alignment horizontal="center"/>
    </xf>
    <xf numFmtId="0" fontId="23" fillId="4" borderId="0" xfId="0" applyFont="1" applyFill="1"/>
    <xf numFmtId="0" fontId="26" fillId="4" borderId="0" xfId="0" applyFont="1" applyFill="1"/>
    <xf numFmtId="3" fontId="23" fillId="0" borderId="0" xfId="0" applyNumberFormat="1" applyFont="1"/>
    <xf numFmtId="0" fontId="23" fillId="0" borderId="0" xfId="0" applyFont="1" applyFill="1" applyBorder="1"/>
    <xf numFmtId="0" fontId="25" fillId="0" borderId="0" xfId="0" applyFont="1" applyFill="1" applyBorder="1"/>
    <xf numFmtId="6" fontId="23" fillId="0" borderId="0" xfId="0" applyNumberFormat="1" applyFont="1" applyFill="1" applyBorder="1"/>
    <xf numFmtId="165" fontId="23" fillId="0" borderId="0" xfId="0" applyNumberFormat="1" applyFont="1" applyFill="1" applyBorder="1"/>
    <xf numFmtId="3" fontId="23" fillId="0" borderId="0" xfId="0" applyNumberFormat="1" applyFont="1" applyFill="1" applyBorder="1"/>
    <xf numFmtId="164" fontId="23" fillId="0" borderId="0" xfId="0" applyNumberFormat="1" applyFont="1"/>
    <xf numFmtId="6" fontId="23" fillId="0" borderId="0" xfId="0" applyNumberFormat="1" applyFont="1"/>
    <xf numFmtId="165" fontId="23" fillId="0" borderId="0" xfId="0" applyNumberFormat="1" applyFont="1"/>
    <xf numFmtId="0" fontId="24" fillId="0" borderId="0" xfId="0" applyFont="1" applyFill="1" applyBorder="1"/>
    <xf numFmtId="0" fontId="27" fillId="0" borderId="0" xfId="0" applyFont="1" applyFill="1" applyBorder="1"/>
    <xf numFmtId="0" fontId="27" fillId="0" borderId="0" xfId="0" applyFont="1"/>
    <xf numFmtId="10" fontId="27" fillId="0" borderId="0" xfId="0" applyNumberFormat="1" applyFont="1"/>
    <xf numFmtId="6" fontId="18" fillId="0" borderId="18" xfId="0" applyNumberFormat="1" applyFont="1" applyFill="1" applyBorder="1"/>
    <xf numFmtId="165" fontId="19" fillId="0" borderId="3" xfId="0" applyNumberFormat="1" applyFont="1" applyBorder="1"/>
    <xf numFmtId="165" fontId="18" fillId="0" borderId="7" xfId="0" applyNumberFormat="1" applyFont="1" applyFill="1" applyBorder="1"/>
    <xf numFmtId="3" fontId="18" fillId="4" borderId="3" xfId="0" applyNumberFormat="1" applyFont="1" applyFill="1" applyBorder="1"/>
    <xf numFmtId="6" fontId="18" fillId="4" borderId="18" xfId="0" applyNumberFormat="1" applyFont="1" applyFill="1" applyBorder="1"/>
    <xf numFmtId="165" fontId="19" fillId="4" borderId="3" xfId="0" applyNumberFormat="1" applyFont="1" applyFill="1" applyBorder="1"/>
    <xf numFmtId="165" fontId="18" fillId="4" borderId="7" xfId="0" applyNumberFormat="1" applyFont="1" applyFill="1" applyBorder="1"/>
    <xf numFmtId="6" fontId="18" fillId="0" borderId="28" xfId="0" applyNumberFormat="1" applyFont="1" applyFill="1" applyBorder="1"/>
    <xf numFmtId="6" fontId="18" fillId="4" borderId="28" xfId="0" applyNumberFormat="1" applyFont="1" applyFill="1" applyBorder="1"/>
    <xf numFmtId="164" fontId="18" fillId="0" borderId="3" xfId="5" applyNumberFormat="1" applyFont="1" applyFill="1" applyBorder="1"/>
    <xf numFmtId="164" fontId="18" fillId="4" borderId="3" xfId="5" applyNumberFormat="1" applyFont="1" applyFill="1" applyBorder="1"/>
    <xf numFmtId="164" fontId="18" fillId="0" borderId="18" xfId="0" applyNumberFormat="1" applyFont="1" applyFill="1" applyBorder="1"/>
    <xf numFmtId="164" fontId="18" fillId="4" borderId="18" xfId="0" applyNumberFormat="1" applyFont="1" applyFill="1" applyBorder="1"/>
    <xf numFmtId="164" fontId="18" fillId="0" borderId="28" xfId="0" applyNumberFormat="1" applyFont="1" applyFill="1" applyBorder="1"/>
    <xf numFmtId="164" fontId="18" fillId="4" borderId="28" xfId="0" applyNumberFormat="1" applyFont="1" applyFill="1" applyBorder="1"/>
    <xf numFmtId="6" fontId="18" fillId="0" borderId="17" xfId="0" applyNumberFormat="1" applyFont="1" applyFill="1" applyBorder="1"/>
    <xf numFmtId="6" fontId="18" fillId="4" borderId="17" xfId="0" applyNumberFormat="1" applyFont="1" applyFill="1" applyBorder="1"/>
    <xf numFmtId="10" fontId="18" fillId="0" borderId="0" xfId="0" applyNumberFormat="1" applyFont="1"/>
    <xf numFmtId="3" fontId="18" fillId="0" borderId="0" xfId="0" applyNumberFormat="1" applyFont="1"/>
    <xf numFmtId="6" fontId="18" fillId="0" borderId="0" xfId="1" applyNumberFormat="1" applyFont="1" applyFill="1" applyAlignment="1">
      <alignment horizontal="right"/>
    </xf>
    <xf numFmtId="6" fontId="18" fillId="0" borderId="0" xfId="1" applyNumberFormat="1" applyFont="1" applyFill="1"/>
    <xf numFmtId="6" fontId="18" fillId="0" borderId="0" xfId="0" applyNumberFormat="1" applyFont="1" applyFill="1"/>
    <xf numFmtId="6" fontId="18" fillId="0" borderId="0" xfId="0" applyNumberFormat="1" applyFont="1"/>
    <xf numFmtId="9" fontId="18" fillId="0" borderId="0" xfId="0" applyNumberFormat="1" applyFont="1"/>
    <xf numFmtId="165" fontId="18" fillId="0" borderId="0" xfId="0" applyNumberFormat="1" applyFont="1"/>
    <xf numFmtId="1" fontId="18" fillId="0" borderId="0" xfId="0" applyNumberFormat="1" applyFont="1"/>
    <xf numFmtId="2" fontId="18" fillId="0" borderId="0" xfId="0" applyNumberFormat="1" applyFont="1"/>
    <xf numFmtId="2" fontId="18" fillId="0" borderId="0" xfId="0" applyNumberFormat="1" applyFont="1" applyAlignment="1"/>
    <xf numFmtId="10" fontId="18" fillId="0" borderId="0" xfId="0" applyNumberFormat="1" applyFont="1" applyFill="1" applyBorder="1"/>
    <xf numFmtId="0" fontId="18" fillId="0" borderId="1" xfId="0" applyFont="1" applyBorder="1"/>
    <xf numFmtId="10" fontId="18" fillId="0" borderId="1" xfId="0" applyNumberFormat="1" applyFont="1" applyBorder="1"/>
    <xf numFmtId="0" fontId="18" fillId="13" borderId="8" xfId="0" applyFont="1" applyFill="1" applyBorder="1"/>
    <xf numFmtId="0" fontId="19" fillId="11" borderId="4" xfId="0" applyFont="1" applyFill="1" applyBorder="1" applyAlignment="1">
      <alignment horizontal="center"/>
    </xf>
    <xf numFmtId="0" fontId="19" fillId="13" borderId="4" xfId="0" applyFont="1" applyFill="1" applyBorder="1" applyAlignment="1">
      <alignment horizontal="center"/>
    </xf>
    <xf numFmtId="0" fontId="19" fillId="13" borderId="24" xfId="0" applyFont="1" applyFill="1" applyBorder="1" applyAlignment="1">
      <alignment horizontal="center"/>
    </xf>
    <xf numFmtId="10" fontId="19" fillId="13" borderId="24" xfId="0" applyNumberFormat="1" applyFont="1" applyFill="1" applyBorder="1" applyAlignment="1">
      <alignment horizontal="center"/>
    </xf>
    <xf numFmtId="10" fontId="19" fillId="11" borderId="26" xfId="0" applyNumberFormat="1" applyFont="1" applyFill="1" applyBorder="1" applyAlignment="1">
      <alignment horizontal="center"/>
    </xf>
    <xf numFmtId="6" fontId="19" fillId="11" borderId="4" xfId="0" applyNumberFormat="1" applyFont="1" applyFill="1" applyBorder="1" applyAlignment="1">
      <alignment horizontal="center"/>
    </xf>
    <xf numFmtId="166" fontId="19" fillId="13" borderId="4" xfId="0" applyNumberFormat="1" applyFont="1" applyFill="1" applyBorder="1" applyAlignment="1">
      <alignment horizontal="center"/>
    </xf>
    <xf numFmtId="6" fontId="19" fillId="11" borderId="8" xfId="0" applyNumberFormat="1" applyFont="1" applyFill="1" applyBorder="1" applyAlignment="1">
      <alignment horizontal="center"/>
    </xf>
    <xf numFmtId="0" fontId="19" fillId="13" borderId="10" xfId="0" applyFont="1" applyFill="1" applyBorder="1" applyAlignment="1">
      <alignment horizontal="left"/>
    </xf>
    <xf numFmtId="0" fontId="19" fillId="0" borderId="1" xfId="0" applyFont="1" applyFill="1" applyBorder="1" applyAlignment="1">
      <alignment horizontal="center"/>
    </xf>
    <xf numFmtId="0" fontId="19" fillId="0" borderId="9" xfId="0" applyFont="1" applyFill="1" applyBorder="1" applyAlignment="1">
      <alignment horizontal="center"/>
    </xf>
    <xf numFmtId="0" fontId="19" fillId="11" borderId="8" xfId="0" applyFont="1" applyFill="1" applyBorder="1" applyAlignment="1">
      <alignment horizontal="center"/>
    </xf>
    <xf numFmtId="0" fontId="19" fillId="11" borderId="10" xfId="0" applyFont="1" applyFill="1" applyBorder="1" applyAlignment="1">
      <alignment horizontal="left"/>
    </xf>
    <xf numFmtId="0" fontId="19" fillId="11" borderId="10" xfId="0" applyFont="1" applyFill="1" applyBorder="1" applyAlignment="1">
      <alignment horizontal="center"/>
    </xf>
    <xf numFmtId="0" fontId="18" fillId="0" borderId="0" xfId="0" applyFont="1" applyFill="1" applyBorder="1" applyAlignment="1">
      <alignment horizontal="center"/>
    </xf>
    <xf numFmtId="1" fontId="18" fillId="0" borderId="0" xfId="0" applyNumberFormat="1" applyFont="1" applyFill="1"/>
    <xf numFmtId="2" fontId="19" fillId="0" borderId="0" xfId="0" applyNumberFormat="1" applyFont="1" applyFill="1"/>
    <xf numFmtId="0" fontId="19" fillId="13" borderId="2" xfId="0" applyNumberFormat="1" applyFont="1" applyFill="1" applyBorder="1" applyAlignment="1">
      <alignment horizontal="center"/>
    </xf>
    <xf numFmtId="6" fontId="19" fillId="13" borderId="7" xfId="0" applyNumberFormat="1" applyFont="1" applyFill="1" applyBorder="1" applyAlignment="1">
      <alignment horizontal="center" vertical="top"/>
    </xf>
    <xf numFmtId="0" fontId="19" fillId="13" borderId="0" xfId="0" applyNumberFormat="1" applyFont="1" applyFill="1"/>
    <xf numFmtId="0" fontId="19" fillId="0" borderId="8" xfId="0" applyFont="1" applyFill="1" applyBorder="1" applyAlignment="1">
      <alignment horizontal="center"/>
    </xf>
    <xf numFmtId="0" fontId="19" fillId="0" borderId="19" xfId="0" applyFont="1" applyFill="1" applyBorder="1" applyAlignment="1">
      <alignment horizontal="left"/>
    </xf>
    <xf numFmtId="0" fontId="19" fillId="11" borderId="3" xfId="0" applyFont="1" applyFill="1" applyBorder="1" applyAlignment="1">
      <alignment horizontal="center"/>
    </xf>
    <xf numFmtId="0" fontId="18" fillId="11" borderId="5" xfId="0" applyFont="1" applyFill="1" applyBorder="1" applyAlignment="1"/>
    <xf numFmtId="6" fontId="19" fillId="0" borderId="7" xfId="0" applyNumberFormat="1" applyFont="1" applyFill="1" applyBorder="1" applyAlignment="1">
      <alignment horizontal="center" vertical="top"/>
    </xf>
    <xf numFmtId="6" fontId="19" fillId="0" borderId="7" xfId="0" applyNumberFormat="1" applyFont="1" applyFill="1" applyBorder="1"/>
    <xf numFmtId="165" fontId="19" fillId="0" borderId="1" xfId="0" applyNumberFormat="1" applyFont="1" applyFill="1" applyBorder="1" applyAlignment="1">
      <alignment horizontal="center"/>
    </xf>
    <xf numFmtId="0" fontId="19" fillId="0" borderId="11" xfId="0" applyFont="1" applyFill="1" applyBorder="1" applyAlignment="1">
      <alignment horizontal="center"/>
    </xf>
    <xf numFmtId="165" fontId="19" fillId="13" borderId="1" xfId="0" applyNumberFormat="1" applyFont="1" applyFill="1" applyBorder="1" applyAlignment="1">
      <alignment horizontal="center"/>
    </xf>
    <xf numFmtId="0" fontId="19" fillId="13" borderId="3" xfId="0" applyFont="1" applyFill="1" applyBorder="1" applyAlignment="1">
      <alignment horizontal="left"/>
    </xf>
    <xf numFmtId="0" fontId="19" fillId="13" borderId="3" xfId="0" applyFont="1" applyFill="1" applyBorder="1" applyAlignment="1">
      <alignment horizontal="center"/>
    </xf>
    <xf numFmtId="0" fontId="19" fillId="11" borderId="3" xfId="0" applyFont="1" applyFill="1" applyBorder="1"/>
    <xf numFmtId="0" fontId="19" fillId="13" borderId="2" xfId="0" applyFont="1" applyFill="1" applyBorder="1" applyAlignment="1">
      <alignment vertical="center"/>
    </xf>
    <xf numFmtId="0" fontId="19" fillId="11" borderId="2" xfId="0" applyFont="1" applyFill="1" applyBorder="1" applyAlignment="1">
      <alignment horizontal="center" wrapText="1"/>
    </xf>
    <xf numFmtId="0" fontId="19" fillId="13" borderId="2" xfId="0" applyFont="1" applyFill="1" applyBorder="1" applyAlignment="1">
      <alignment horizontal="center" wrapText="1"/>
    </xf>
    <xf numFmtId="0" fontId="19" fillId="13" borderId="16" xfId="0" applyFont="1" applyFill="1" applyBorder="1" applyAlignment="1">
      <alignment horizontal="center"/>
    </xf>
    <xf numFmtId="10" fontId="19" fillId="13" borderId="9" xfId="0" applyNumberFormat="1" applyFont="1" applyFill="1" applyBorder="1" applyAlignment="1">
      <alignment horizontal="center"/>
    </xf>
    <xf numFmtId="0" fontId="19" fillId="11" borderId="16" xfId="0" applyFont="1" applyFill="1" applyBorder="1" applyAlignment="1">
      <alignment horizontal="center"/>
    </xf>
    <xf numFmtId="10" fontId="19" fillId="11" borderId="9" xfId="0" applyNumberFormat="1" applyFont="1" applyFill="1" applyBorder="1" applyAlignment="1">
      <alignment horizontal="center"/>
    </xf>
    <xf numFmtId="0" fontId="19" fillId="11" borderId="2" xfId="0" applyFont="1" applyFill="1" applyBorder="1" applyAlignment="1">
      <alignment horizontal="center"/>
    </xf>
    <xf numFmtId="0" fontId="19" fillId="13" borderId="2" xfId="0" applyFont="1" applyFill="1" applyBorder="1" applyAlignment="1">
      <alignment horizontal="center"/>
    </xf>
    <xf numFmtId="0" fontId="19" fillId="13" borderId="9" xfId="0" applyFont="1" applyFill="1" applyBorder="1" applyAlignment="1">
      <alignment horizontal="center"/>
    </xf>
    <xf numFmtId="6" fontId="19" fillId="11" borderId="2" xfId="0" applyNumberFormat="1" applyFont="1" applyFill="1" applyBorder="1" applyAlignment="1">
      <alignment horizontal="center"/>
    </xf>
    <xf numFmtId="6" fontId="19" fillId="11" borderId="16" xfId="0" applyNumberFormat="1" applyFont="1" applyFill="1" applyBorder="1" applyAlignment="1">
      <alignment horizontal="center"/>
    </xf>
    <xf numFmtId="166" fontId="19" fillId="13" borderId="2" xfId="0" applyNumberFormat="1" applyFont="1" applyFill="1" applyBorder="1" applyAlignment="1">
      <alignment horizontal="center"/>
    </xf>
    <xf numFmtId="6" fontId="19" fillId="13" borderId="2" xfId="0" applyNumberFormat="1" applyFont="1" applyFill="1" applyBorder="1" applyAlignment="1">
      <alignment horizontal="center"/>
    </xf>
    <xf numFmtId="9" fontId="19" fillId="13" borderId="9" xfId="0" applyNumberFormat="1" applyFont="1" applyFill="1" applyBorder="1" applyAlignment="1">
      <alignment horizontal="center"/>
    </xf>
    <xf numFmtId="0" fontId="19" fillId="0" borderId="10" xfId="0" applyFont="1" applyFill="1" applyBorder="1" applyAlignment="1">
      <alignment horizontal="center" wrapText="1"/>
    </xf>
    <xf numFmtId="0" fontId="19" fillId="0" borderId="20" xfId="0" applyFont="1" applyFill="1" applyBorder="1" applyAlignment="1">
      <alignment horizontal="center" wrapText="1"/>
    </xf>
    <xf numFmtId="9" fontId="19" fillId="11" borderId="9" xfId="0" applyNumberFormat="1" applyFont="1" applyFill="1" applyBorder="1" applyAlignment="1">
      <alignment horizontal="center"/>
    </xf>
    <xf numFmtId="0" fontId="19" fillId="0" borderId="3" xfId="0" applyFont="1" applyFill="1" applyBorder="1" applyAlignment="1">
      <alignment horizontal="center" wrapText="1"/>
    </xf>
    <xf numFmtId="0" fontId="19" fillId="0" borderId="5" xfId="0" applyFont="1" applyFill="1" applyBorder="1" applyAlignment="1">
      <alignment horizontal="center" wrapText="1"/>
    </xf>
    <xf numFmtId="0" fontId="18" fillId="0" borderId="0" xfId="0" applyFont="1" applyFill="1" applyBorder="1" applyAlignment="1">
      <alignment horizontal="center" wrapText="1"/>
    </xf>
    <xf numFmtId="0" fontId="18" fillId="0" borderId="0" xfId="0" applyFont="1" applyFill="1" applyAlignment="1">
      <alignment wrapText="1"/>
    </xf>
    <xf numFmtId="0" fontId="19" fillId="0" borderId="0" xfId="0" applyFont="1" applyFill="1" applyBorder="1" applyAlignment="1">
      <alignment horizontal="center" wrapText="1"/>
    </xf>
    <xf numFmtId="0" fontId="19" fillId="0" borderId="0" xfId="0" applyFont="1" applyFill="1" applyAlignment="1">
      <alignment wrapText="1"/>
    </xf>
    <xf numFmtId="0" fontId="19" fillId="0" borderId="3" xfId="0" applyFont="1" applyFill="1" applyBorder="1" applyAlignment="1">
      <alignment wrapText="1"/>
    </xf>
    <xf numFmtId="1" fontId="19" fillId="0" borderId="3" xfId="0" applyNumberFormat="1" applyFont="1" applyFill="1" applyBorder="1" applyAlignment="1">
      <alignment wrapText="1"/>
    </xf>
    <xf numFmtId="2" fontId="19" fillId="0" borderId="3" xfId="0" applyNumberFormat="1" applyFont="1" applyFill="1" applyBorder="1" applyAlignment="1">
      <alignment wrapText="1"/>
    </xf>
    <xf numFmtId="0" fontId="19" fillId="13" borderId="3" xfId="0" applyNumberFormat="1" applyFont="1" applyFill="1" applyBorder="1" applyAlignment="1">
      <alignment horizontal="center" wrapText="1"/>
    </xf>
    <xf numFmtId="6" fontId="19" fillId="13" borderId="20" xfId="0" applyNumberFormat="1" applyFont="1" applyFill="1" applyBorder="1" applyAlignment="1">
      <alignment horizontal="center" wrapText="1"/>
    </xf>
    <xf numFmtId="6" fontId="19" fillId="0" borderId="3" xfId="0" applyNumberFormat="1" applyFont="1" applyFill="1" applyBorder="1" applyAlignment="1">
      <alignment horizontal="center"/>
    </xf>
    <xf numFmtId="9" fontId="19" fillId="0" borderId="3" xfId="0" applyNumberFormat="1" applyFont="1" applyFill="1" applyBorder="1" applyAlignment="1">
      <alignment horizontal="center"/>
    </xf>
    <xf numFmtId="0" fontId="19" fillId="11" borderId="3" xfId="0" applyFont="1" applyFill="1" applyBorder="1" applyAlignment="1">
      <alignment horizontal="center" wrapText="1"/>
    </xf>
    <xf numFmtId="6" fontId="19" fillId="0" borderId="10" xfId="0" applyNumberFormat="1" applyFont="1" applyFill="1" applyBorder="1" applyAlignment="1">
      <alignment horizontal="left" wrapText="1"/>
    </xf>
    <xf numFmtId="6" fontId="18" fillId="0" borderId="3" xfId="0" applyNumberFormat="1" applyFont="1" applyFill="1" applyBorder="1" applyAlignment="1">
      <alignment horizontal="center" vertical="top"/>
    </xf>
    <xf numFmtId="165" fontId="19" fillId="0" borderId="2" xfId="0" applyNumberFormat="1" applyFont="1" applyFill="1" applyBorder="1" applyAlignment="1">
      <alignment horizontal="center"/>
    </xf>
    <xf numFmtId="165" fontId="19" fillId="13" borderId="1" xfId="0" applyNumberFormat="1" applyFont="1" applyFill="1" applyBorder="1" applyAlignment="1">
      <alignment horizontal="center" wrapText="1"/>
    </xf>
    <xf numFmtId="0" fontId="19" fillId="4" borderId="6" xfId="0" applyFont="1" applyFill="1" applyBorder="1"/>
    <xf numFmtId="0" fontId="19" fillId="4" borderId="0" xfId="0" applyFont="1" applyFill="1" applyBorder="1"/>
    <xf numFmtId="10" fontId="19" fillId="4" borderId="0" xfId="0" applyNumberFormat="1" applyFont="1" applyFill="1" applyBorder="1"/>
    <xf numFmtId="0" fontId="19" fillId="4" borderId="0" xfId="0" applyFont="1" applyFill="1" applyBorder="1" applyAlignment="1">
      <alignment horizontal="center"/>
    </xf>
    <xf numFmtId="10" fontId="19" fillId="4" borderId="0" xfId="0" applyNumberFormat="1" applyFont="1" applyFill="1" applyBorder="1" applyAlignment="1">
      <alignment horizontal="center"/>
    </xf>
    <xf numFmtId="6" fontId="18" fillId="4" borderId="0" xfId="0" applyNumberFormat="1" applyFont="1" applyFill="1"/>
    <xf numFmtId="10" fontId="18" fillId="4" borderId="0" xfId="0" applyNumberFormat="1" applyFont="1" applyFill="1"/>
    <xf numFmtId="0" fontId="18" fillId="4" borderId="0" xfId="0" applyFont="1" applyFill="1"/>
    <xf numFmtId="3" fontId="18" fillId="4" borderId="0" xfId="0" applyNumberFormat="1" applyFont="1" applyFill="1"/>
    <xf numFmtId="6" fontId="18" fillId="4" borderId="0" xfId="1" applyNumberFormat="1" applyFont="1" applyFill="1" applyAlignment="1">
      <alignment horizontal="right"/>
    </xf>
    <xf numFmtId="6" fontId="18" fillId="4" borderId="0" xfId="1" applyNumberFormat="1" applyFont="1" applyFill="1"/>
    <xf numFmtId="0" fontId="19" fillId="4" borderId="0" xfId="0" applyFont="1" applyFill="1" applyAlignment="1">
      <alignment wrapText="1"/>
    </xf>
    <xf numFmtId="6" fontId="19" fillId="4" borderId="0" xfId="0" applyNumberFormat="1" applyFont="1" applyFill="1" applyAlignment="1">
      <alignment wrapText="1"/>
    </xf>
    <xf numFmtId="9" fontId="18" fillId="4" borderId="0" xfId="0" applyNumberFormat="1" applyFont="1" applyFill="1"/>
    <xf numFmtId="165" fontId="18" fillId="4" borderId="0" xfId="0" applyNumberFormat="1" applyFont="1" applyFill="1"/>
    <xf numFmtId="170" fontId="18" fillId="4" borderId="0" xfId="0" applyNumberFormat="1" applyFont="1" applyFill="1"/>
    <xf numFmtId="1" fontId="18" fillId="4" borderId="0" xfId="0" applyNumberFormat="1" applyFont="1" applyFill="1"/>
    <xf numFmtId="2" fontId="18" fillId="4" borderId="0" xfId="0" applyNumberFormat="1" applyFont="1" applyFill="1"/>
    <xf numFmtId="2" fontId="18" fillId="4" borderId="0" xfId="0" applyNumberFormat="1" applyFont="1" applyFill="1" applyAlignment="1"/>
    <xf numFmtId="0" fontId="18" fillId="4" borderId="15" xfId="0" applyFont="1" applyFill="1" applyBorder="1"/>
    <xf numFmtId="6" fontId="18" fillId="0" borderId="0" xfId="0" applyNumberFormat="1" applyFont="1" applyBorder="1" applyAlignment="1">
      <alignment horizontal="right"/>
    </xf>
    <xf numFmtId="10" fontId="18" fillId="0" borderId="0" xfId="0" applyNumberFormat="1" applyFont="1" applyBorder="1" applyAlignment="1">
      <alignment horizontal="right"/>
    </xf>
    <xf numFmtId="164" fontId="18" fillId="0" borderId="0" xfId="0" applyNumberFormat="1" applyFont="1"/>
    <xf numFmtId="0" fontId="18" fillId="0" borderId="13" xfId="3" applyFont="1" applyFill="1" applyBorder="1" applyAlignment="1">
      <alignment shrinkToFit="1"/>
    </xf>
    <xf numFmtId="170" fontId="18" fillId="0" borderId="0" xfId="2" applyNumberFormat="1" applyFont="1"/>
    <xf numFmtId="3" fontId="18" fillId="0" borderId="0" xfId="0" applyNumberFormat="1" applyFont="1" applyAlignment="1">
      <alignment wrapText="1"/>
    </xf>
    <xf numFmtId="165" fontId="18" fillId="0" borderId="0" xfId="0" quotePrefix="1" applyNumberFormat="1" applyFont="1"/>
    <xf numFmtId="165" fontId="18" fillId="0" borderId="0" xfId="0" applyNumberFormat="1" applyFont="1" applyFill="1"/>
    <xf numFmtId="6" fontId="18" fillId="0" borderId="0" xfId="0" applyNumberFormat="1" applyFont="1" applyAlignment="1">
      <alignment horizontal="right"/>
    </xf>
    <xf numFmtId="164" fontId="18" fillId="0" borderId="0" xfId="0" applyNumberFormat="1" applyFont="1" applyAlignment="1">
      <alignment horizontal="center"/>
    </xf>
    <xf numFmtId="0" fontId="18" fillId="0" borderId="6" xfId="0" applyFont="1" applyFill="1" applyBorder="1"/>
    <xf numFmtId="0" fontId="18" fillId="0" borderId="6" xfId="0" applyFont="1" applyBorder="1"/>
    <xf numFmtId="0" fontId="18" fillId="0" borderId="0" xfId="0" applyFont="1" applyFill="1" applyBorder="1" applyAlignment="1">
      <alignment horizontal="left"/>
    </xf>
    <xf numFmtId="6" fontId="18" fillId="0" borderId="0" xfId="0" applyNumberFormat="1" applyFont="1" applyBorder="1"/>
    <xf numFmtId="164" fontId="18" fillId="0" borderId="0" xfId="0" applyNumberFormat="1" applyFont="1" applyBorder="1"/>
    <xf numFmtId="0" fontId="18" fillId="0" borderId="0" xfId="0" applyFont="1" applyBorder="1"/>
    <xf numFmtId="3" fontId="18" fillId="0" borderId="0" xfId="0" applyNumberFormat="1" applyFont="1" applyBorder="1"/>
    <xf numFmtId="3" fontId="18" fillId="0" borderId="0" xfId="0" applyNumberFormat="1" applyFont="1" applyFill="1" applyBorder="1"/>
    <xf numFmtId="0" fontId="18" fillId="0" borderId="14" xfId="3" applyFont="1" applyFill="1" applyBorder="1" applyAlignment="1">
      <alignment shrinkToFit="1"/>
    </xf>
    <xf numFmtId="0" fontId="18" fillId="0" borderId="0" xfId="3" applyFont="1" applyFill="1" applyBorder="1" applyAlignment="1">
      <alignment shrinkToFit="1"/>
    </xf>
    <xf numFmtId="1" fontId="18" fillId="0" borderId="0" xfId="0" applyNumberFormat="1" applyFont="1" applyBorder="1"/>
    <xf numFmtId="170" fontId="18" fillId="0" borderId="0" xfId="2" applyNumberFormat="1" applyFont="1" applyBorder="1"/>
    <xf numFmtId="10" fontId="18" fillId="0" borderId="0" xfId="0" applyNumberFormat="1" applyFont="1" applyBorder="1"/>
    <xf numFmtId="0" fontId="18" fillId="0" borderId="1" xfId="0" applyFont="1" applyFill="1" applyBorder="1"/>
    <xf numFmtId="6" fontId="18" fillId="0" borderId="1" xfId="0" applyNumberFormat="1" applyFont="1" applyBorder="1" applyAlignment="1">
      <alignment horizontal="right"/>
    </xf>
    <xf numFmtId="6" fontId="18" fillId="0" borderId="1" xfId="0" applyNumberFormat="1" applyFont="1" applyBorder="1"/>
    <xf numFmtId="164" fontId="18" fillId="0" borderId="1" xfId="0" applyNumberFormat="1" applyFont="1" applyBorder="1"/>
    <xf numFmtId="1" fontId="18" fillId="0" borderId="1" xfId="0" applyNumberFormat="1" applyFont="1" applyBorder="1"/>
    <xf numFmtId="170" fontId="18" fillId="0" borderId="1" xfId="2" applyNumberFormat="1" applyFont="1" applyBorder="1"/>
    <xf numFmtId="3" fontId="18" fillId="0" borderId="1" xfId="0" applyNumberFormat="1" applyFont="1" applyBorder="1"/>
    <xf numFmtId="3" fontId="18" fillId="0" borderId="1" xfId="0" applyNumberFormat="1" applyFont="1" applyBorder="1" applyAlignment="1">
      <alignment wrapText="1"/>
    </xf>
    <xf numFmtId="165" fontId="18" fillId="0" borderId="1" xfId="0" applyNumberFormat="1" applyFont="1" applyBorder="1"/>
    <xf numFmtId="9" fontId="18" fillId="0" borderId="1" xfId="0" applyNumberFormat="1" applyFont="1" applyBorder="1"/>
    <xf numFmtId="0" fontId="19" fillId="0" borderId="0" xfId="0" applyFont="1" applyFill="1" applyBorder="1"/>
    <xf numFmtId="6" fontId="19" fillId="0" borderId="0" xfId="0" applyNumberFormat="1" applyFont="1" applyBorder="1" applyAlignment="1">
      <alignment horizontal="right"/>
    </xf>
    <xf numFmtId="10" fontId="19" fillId="0" borderId="0" xfId="0" applyNumberFormat="1" applyFont="1" applyBorder="1" applyAlignment="1">
      <alignment horizontal="right"/>
    </xf>
    <xf numFmtId="6" fontId="19" fillId="0" borderId="0" xfId="0" applyNumberFormat="1" applyFont="1" applyBorder="1"/>
    <xf numFmtId="10" fontId="19" fillId="0" borderId="0" xfId="0" applyNumberFormat="1" applyFont="1" applyBorder="1"/>
    <xf numFmtId="6" fontId="19" fillId="0" borderId="0" xfId="0" applyNumberFormat="1" applyFont="1" applyFill="1" applyBorder="1"/>
    <xf numFmtId="164" fontId="19" fillId="0" borderId="0" xfId="0" applyNumberFormat="1" applyFont="1" applyFill="1" applyBorder="1"/>
    <xf numFmtId="164" fontId="19" fillId="0" borderId="0" xfId="0" applyNumberFormat="1" applyFont="1" applyBorder="1"/>
    <xf numFmtId="6" fontId="19" fillId="0" borderId="0" xfId="0" applyNumberFormat="1" applyFont="1" applyFill="1" applyBorder="1" applyAlignment="1">
      <alignment horizontal="right"/>
    </xf>
    <xf numFmtId="1" fontId="19" fillId="0" borderId="0" xfId="0" applyNumberFormat="1" applyFont="1" applyFill="1" applyBorder="1"/>
    <xf numFmtId="1" fontId="19" fillId="0" borderId="0" xfId="0" applyNumberFormat="1" applyFont="1" applyBorder="1"/>
    <xf numFmtId="167" fontId="19" fillId="0" borderId="0" xfId="0" applyNumberFormat="1" applyFont="1" applyBorder="1"/>
    <xf numFmtId="170" fontId="19" fillId="0" borderId="0" xfId="0" applyNumberFormat="1" applyFont="1" applyBorder="1"/>
    <xf numFmtId="3" fontId="19" fillId="0" borderId="0" xfId="0" applyNumberFormat="1" applyFont="1" applyFill="1" applyBorder="1"/>
    <xf numFmtId="165" fontId="19" fillId="0" borderId="0" xfId="0" applyNumberFormat="1" applyFont="1" applyFill="1" applyBorder="1"/>
    <xf numFmtId="165" fontId="19" fillId="0" borderId="0" xfId="0" applyNumberFormat="1" applyFont="1" applyFill="1" applyBorder="1" applyAlignment="1">
      <alignment wrapText="1"/>
    </xf>
    <xf numFmtId="10" fontId="19" fillId="0" borderId="0" xfId="0" applyNumberFormat="1" applyFont="1" applyFill="1" applyBorder="1"/>
    <xf numFmtId="165" fontId="19" fillId="0" borderId="0" xfId="0" applyNumberFormat="1" applyFont="1" applyBorder="1"/>
    <xf numFmtId="165" fontId="19" fillId="0" borderId="0" xfId="0" applyNumberFormat="1" applyFont="1" applyFill="1"/>
    <xf numFmtId="6" fontId="19" fillId="0" borderId="0" xfId="0" applyNumberFormat="1" applyFont="1" applyFill="1"/>
    <xf numFmtId="164" fontId="19" fillId="0" borderId="0" xfId="0" applyNumberFormat="1" applyFont="1" applyFill="1"/>
    <xf numFmtId="164" fontId="19" fillId="0" borderId="0" xfId="0" applyNumberFormat="1" applyFont="1"/>
    <xf numFmtId="6" fontId="19" fillId="0" borderId="0" xfId="0" applyNumberFormat="1" applyFont="1" applyFill="1" applyAlignment="1">
      <alignment horizontal="right"/>
    </xf>
    <xf numFmtId="6" fontId="19" fillId="0" borderId="0" xfId="0" applyNumberFormat="1" applyFont="1"/>
    <xf numFmtId="170" fontId="18" fillId="0" borderId="0" xfId="0" applyNumberFormat="1" applyFont="1"/>
    <xf numFmtId="3" fontId="19" fillId="0" borderId="0" xfId="0" applyNumberFormat="1" applyFont="1" applyFill="1"/>
    <xf numFmtId="165" fontId="19" fillId="0" borderId="0" xfId="0" applyNumberFormat="1" applyFont="1" applyFill="1" applyAlignment="1">
      <alignment wrapText="1"/>
    </xf>
    <xf numFmtId="10" fontId="18" fillId="0" borderId="0" xfId="0" applyNumberFormat="1" applyFont="1" applyFill="1"/>
    <xf numFmtId="0" fontId="19" fillId="0" borderId="0" xfId="0" applyFont="1" applyBorder="1"/>
    <xf numFmtId="6" fontId="19" fillId="0" borderId="0" xfId="0" applyNumberFormat="1" applyFont="1" applyAlignment="1">
      <alignment horizontal="right"/>
    </xf>
    <xf numFmtId="3" fontId="19" fillId="0" borderId="0" xfId="0" applyNumberFormat="1" applyFont="1"/>
    <xf numFmtId="6" fontId="19" fillId="0" borderId="0" xfId="0" applyNumberFormat="1" applyFont="1" applyAlignment="1">
      <alignment wrapText="1"/>
    </xf>
    <xf numFmtId="9" fontId="19" fillId="0" borderId="0" xfId="0" applyNumberFormat="1" applyFont="1"/>
    <xf numFmtId="165" fontId="19" fillId="0" borderId="0" xfId="0" applyNumberFormat="1" applyFont="1"/>
    <xf numFmtId="170" fontId="19" fillId="0" borderId="0" xfId="0" applyNumberFormat="1" applyFont="1"/>
    <xf numFmtId="1" fontId="19" fillId="0" borderId="0" xfId="0" applyNumberFormat="1" applyFont="1"/>
    <xf numFmtId="2" fontId="19" fillId="0" borderId="0" xfId="0" applyNumberFormat="1" applyFont="1"/>
    <xf numFmtId="165" fontId="19" fillId="0" borderId="0" xfId="0" applyNumberFormat="1" applyFont="1" applyAlignment="1">
      <alignment wrapText="1"/>
    </xf>
    <xf numFmtId="0" fontId="28" fillId="0" borderId="0" xfId="0" applyFont="1" applyBorder="1"/>
    <xf numFmtId="6" fontId="18" fillId="0" borderId="0" xfId="0" applyNumberFormat="1" applyFont="1" applyAlignment="1">
      <alignment wrapText="1"/>
    </xf>
    <xf numFmtId="6" fontId="18" fillId="4" borderId="0" xfId="0" applyNumberFormat="1" applyFont="1" applyFill="1" applyBorder="1" applyAlignment="1">
      <alignment horizontal="right"/>
    </xf>
    <xf numFmtId="10" fontId="18" fillId="4" borderId="0" xfId="0" applyNumberFormat="1" applyFont="1" applyFill="1" applyBorder="1" applyAlignment="1">
      <alignment horizontal="right"/>
    </xf>
    <xf numFmtId="164" fontId="19" fillId="4" borderId="0" xfId="0" applyNumberFormat="1" applyFont="1" applyFill="1" applyBorder="1" applyAlignment="1">
      <alignment horizontal="center"/>
    </xf>
    <xf numFmtId="0" fontId="18" fillId="4" borderId="0" xfId="0" applyFont="1" applyFill="1" applyBorder="1"/>
    <xf numFmtId="164" fontId="18" fillId="4" borderId="0" xfId="0" applyNumberFormat="1" applyFont="1" applyFill="1" applyBorder="1"/>
    <xf numFmtId="3" fontId="18" fillId="4" borderId="0" xfId="0" applyNumberFormat="1" applyFont="1" applyFill="1" applyBorder="1"/>
    <xf numFmtId="6" fontId="18" fillId="4" borderId="0" xfId="1" applyNumberFormat="1" applyFont="1" applyFill="1" applyBorder="1" applyAlignment="1">
      <alignment horizontal="right"/>
    </xf>
    <xf numFmtId="6" fontId="18" fillId="4" borderId="0" xfId="1" applyNumberFormat="1" applyFont="1" applyFill="1" applyBorder="1"/>
    <xf numFmtId="3" fontId="18" fillId="4" borderId="0" xfId="0" applyNumberFormat="1" applyFont="1" applyFill="1" applyAlignment="1">
      <alignment wrapText="1"/>
    </xf>
    <xf numFmtId="6" fontId="18" fillId="4" borderId="0" xfId="0" applyNumberFormat="1" applyFont="1" applyFill="1" applyAlignment="1">
      <alignment wrapText="1"/>
    </xf>
    <xf numFmtId="9" fontId="18" fillId="4" borderId="0" xfId="0" applyNumberFormat="1" applyFont="1" applyFill="1" applyBorder="1"/>
    <xf numFmtId="6" fontId="18" fillId="4" borderId="0" xfId="0" applyNumberFormat="1" applyFont="1" applyFill="1" applyBorder="1"/>
    <xf numFmtId="165" fontId="18" fillId="4" borderId="0" xfId="0" applyNumberFormat="1" applyFont="1" applyFill="1" applyBorder="1"/>
    <xf numFmtId="170" fontId="18" fillId="4" borderId="0" xfId="0" applyNumberFormat="1" applyFont="1" applyFill="1" applyBorder="1"/>
    <xf numFmtId="1" fontId="18" fillId="4" borderId="0" xfId="0" applyNumberFormat="1" applyFont="1" applyFill="1" applyBorder="1"/>
    <xf numFmtId="2" fontId="18" fillId="4" borderId="0" xfId="0" applyNumberFormat="1" applyFont="1" applyFill="1" applyBorder="1"/>
    <xf numFmtId="165" fontId="19" fillId="4" borderId="0" xfId="0" applyNumberFormat="1" applyFont="1" applyFill="1" applyBorder="1" applyAlignment="1">
      <alignment wrapText="1"/>
    </xf>
    <xf numFmtId="6" fontId="19" fillId="4" borderId="0" xfId="0" applyNumberFormat="1" applyFont="1" applyFill="1" applyBorder="1"/>
    <xf numFmtId="10" fontId="18" fillId="4" borderId="0" xfId="0" applyNumberFormat="1" applyFont="1" applyFill="1" applyBorder="1"/>
    <xf numFmtId="164" fontId="18" fillId="0" borderId="0" xfId="0" applyNumberFormat="1" applyFont="1" applyAlignment="1">
      <alignment horizontal="right"/>
    </xf>
    <xf numFmtId="164" fontId="18" fillId="0" borderId="0" xfId="0" applyNumberFormat="1" applyFont="1" applyBorder="1" applyAlignment="1">
      <alignment horizontal="right"/>
    </xf>
    <xf numFmtId="164" fontId="18" fillId="0" borderId="0" xfId="0" applyNumberFormat="1" applyFont="1" applyBorder="1" applyAlignment="1">
      <alignment horizontal="center"/>
    </xf>
    <xf numFmtId="164" fontId="18" fillId="0" borderId="0" xfId="0" applyNumberFormat="1" applyFont="1" applyFill="1"/>
    <xf numFmtId="165" fontId="18" fillId="0" borderId="1" xfId="0" applyNumberFormat="1" applyFont="1" applyFill="1" applyBorder="1"/>
    <xf numFmtId="164" fontId="18" fillId="0" borderId="1" xfId="0" applyNumberFormat="1" applyFont="1" applyFill="1" applyBorder="1"/>
    <xf numFmtId="170" fontId="18" fillId="0" borderId="1" xfId="0" applyNumberFormat="1" applyFont="1" applyBorder="1"/>
    <xf numFmtId="3" fontId="19" fillId="0" borderId="0" xfId="0" applyNumberFormat="1" applyFont="1" applyBorder="1"/>
    <xf numFmtId="165" fontId="19" fillId="0" borderId="0" xfId="0" applyNumberFormat="1" applyFont="1" applyBorder="1" applyAlignment="1">
      <alignment wrapText="1"/>
    </xf>
    <xf numFmtId="6" fontId="19" fillId="0" borderId="0" xfId="1" applyNumberFormat="1" applyFont="1" applyFill="1" applyAlignment="1">
      <alignment horizontal="right"/>
    </xf>
    <xf numFmtId="6" fontId="19" fillId="0" borderId="0" xfId="1" applyNumberFormat="1" applyFont="1" applyFill="1"/>
    <xf numFmtId="165" fontId="18" fillId="0" borderId="0" xfId="0" applyNumberFormat="1" applyFont="1" applyAlignment="1">
      <alignment wrapText="1"/>
    </xf>
    <xf numFmtId="10" fontId="19" fillId="0" borderId="0" xfId="0" applyNumberFormat="1" applyFont="1"/>
    <xf numFmtId="164" fontId="18" fillId="4" borderId="0" xfId="0" applyNumberFormat="1" applyFont="1" applyFill="1"/>
    <xf numFmtId="165" fontId="18" fillId="4" borderId="0" xfId="0" applyNumberFormat="1" applyFont="1" applyFill="1" applyAlignment="1">
      <alignment wrapText="1"/>
    </xf>
    <xf numFmtId="6" fontId="19" fillId="4" borderId="0" xfId="0" applyNumberFormat="1" applyFont="1" applyFill="1"/>
    <xf numFmtId="0" fontId="18" fillId="0" borderId="13" xfId="3" applyFont="1" applyBorder="1" applyAlignment="1">
      <alignment shrinkToFit="1"/>
    </xf>
    <xf numFmtId="0" fontId="18" fillId="0" borderId="0" xfId="3" applyFont="1" applyBorder="1" applyAlignment="1">
      <alignment shrinkToFit="1"/>
    </xf>
    <xf numFmtId="164" fontId="18" fillId="0" borderId="1" xfId="0" applyNumberFormat="1" applyFont="1" applyBorder="1" applyAlignment="1">
      <alignment horizontal="right"/>
    </xf>
    <xf numFmtId="165" fontId="18" fillId="0" borderId="0" xfId="0" applyNumberFormat="1" applyFont="1" applyBorder="1"/>
    <xf numFmtId="0" fontId="28" fillId="0" borderId="0" xfId="0" applyFont="1"/>
    <xf numFmtId="10" fontId="18" fillId="0" borderId="0" xfId="0" applyNumberFormat="1" applyFont="1" applyAlignment="1">
      <alignment horizontal="right"/>
    </xf>
    <xf numFmtId="6" fontId="18" fillId="0" borderId="0" xfId="0" applyNumberFormat="1" applyFont="1" applyFill="1" applyBorder="1" applyAlignment="1">
      <alignment horizontal="right"/>
    </xf>
    <xf numFmtId="164" fontId="18" fillId="0" borderId="0" xfId="0" applyNumberFormat="1" applyFont="1" applyFill="1" applyBorder="1" applyAlignment="1">
      <alignment horizontal="right"/>
    </xf>
    <xf numFmtId="3" fontId="18" fillId="0" borderId="0" xfId="0" applyNumberFormat="1" applyFont="1" applyFill="1"/>
    <xf numFmtId="1" fontId="18" fillId="0" borderId="0" xfId="2" applyNumberFormat="1" applyFont="1"/>
    <xf numFmtId="164" fontId="18" fillId="0" borderId="0" xfId="0" applyNumberFormat="1" applyFont="1" applyFill="1" applyBorder="1"/>
    <xf numFmtId="170" fontId="18" fillId="0" borderId="0" xfId="0" applyNumberFormat="1" applyFont="1" applyFill="1" applyBorder="1"/>
    <xf numFmtId="1" fontId="18" fillId="0" borderId="0" xfId="0" applyNumberFormat="1" applyFont="1" applyFill="1" applyBorder="1"/>
    <xf numFmtId="6" fontId="18" fillId="0" borderId="0" xfId="0" applyNumberFormat="1" applyFont="1" applyFill="1" applyBorder="1"/>
    <xf numFmtId="10" fontId="18" fillId="0" borderId="1" xfId="0" applyNumberFormat="1" applyFont="1" applyBorder="1" applyAlignment="1">
      <alignment horizontal="right"/>
    </xf>
    <xf numFmtId="170" fontId="18" fillId="0" borderId="1" xfId="0" applyNumberFormat="1" applyFont="1" applyFill="1" applyBorder="1"/>
    <xf numFmtId="1" fontId="18" fillId="0" borderId="1" xfId="0" applyNumberFormat="1" applyFont="1" applyFill="1" applyBorder="1"/>
    <xf numFmtId="3" fontId="18" fillId="0" borderId="1" xfId="0" applyNumberFormat="1" applyFont="1" applyFill="1" applyBorder="1"/>
    <xf numFmtId="6" fontId="18" fillId="0" borderId="1" xfId="0" applyNumberFormat="1" applyFont="1" applyFill="1" applyBorder="1"/>
    <xf numFmtId="10" fontId="18" fillId="0" borderId="1" xfId="0" applyNumberFormat="1" applyFont="1" applyFill="1" applyBorder="1"/>
    <xf numFmtId="170" fontId="18" fillId="0" borderId="0" xfId="0" applyNumberFormat="1" applyFont="1" applyFill="1"/>
    <xf numFmtId="0" fontId="18" fillId="0" borderId="27" xfId="3" applyFont="1" applyFill="1" applyBorder="1" applyAlignment="1">
      <alignment shrinkToFit="1"/>
    </xf>
    <xf numFmtId="3" fontId="18" fillId="0" borderId="0" xfId="0" applyNumberFormat="1" applyFont="1" applyBorder="1" applyAlignment="1">
      <alignment wrapText="1"/>
    </xf>
    <xf numFmtId="9" fontId="18" fillId="0" borderId="0" xfId="0" applyNumberFormat="1" applyFont="1" applyBorder="1"/>
    <xf numFmtId="170" fontId="18" fillId="0" borderId="0" xfId="0" applyNumberFormat="1" applyFont="1" applyBorder="1"/>
    <xf numFmtId="165" fontId="18" fillId="0" borderId="0" xfId="0" applyNumberFormat="1" applyFont="1" applyBorder="1" applyAlignment="1">
      <alignment wrapText="1"/>
    </xf>
    <xf numFmtId="165" fontId="18" fillId="0" borderId="1" xfId="0" applyNumberFormat="1" applyFont="1" applyBorder="1" applyAlignment="1">
      <alignment wrapText="1"/>
    </xf>
    <xf numFmtId="168" fontId="19" fillId="0" borderId="0" xfId="0" applyNumberFormat="1" applyFont="1"/>
    <xf numFmtId="0" fontId="18" fillId="0" borderId="7" xfId="0" applyFont="1" applyBorder="1"/>
    <xf numFmtId="165" fontId="18" fillId="0" borderId="0" xfId="0" applyNumberFormat="1" applyFont="1" applyFill="1" applyAlignment="1">
      <alignment wrapText="1"/>
    </xf>
    <xf numFmtId="0" fontId="18" fillId="0" borderId="13" xfId="4" applyFont="1" applyBorder="1" applyAlignment="1">
      <alignment shrinkToFit="1"/>
    </xf>
    <xf numFmtId="165" fontId="18" fillId="0" borderId="0" xfId="0" applyNumberFormat="1" applyFont="1" applyFill="1" applyBorder="1" applyAlignment="1">
      <alignment wrapText="1"/>
    </xf>
    <xf numFmtId="2" fontId="18" fillId="0" borderId="0" xfId="0" applyNumberFormat="1" applyFont="1" applyBorder="1"/>
    <xf numFmtId="169" fontId="18" fillId="0" borderId="0" xfId="0" applyNumberFormat="1" applyFont="1" applyBorder="1"/>
    <xf numFmtId="6" fontId="19" fillId="0" borderId="1" xfId="0" applyNumberFormat="1" applyFont="1" applyBorder="1"/>
    <xf numFmtId="164" fontId="19" fillId="0" borderId="1" xfId="0" applyNumberFormat="1" applyFont="1" applyBorder="1"/>
    <xf numFmtId="165" fontId="19" fillId="0" borderId="1" xfId="0" applyNumberFormat="1" applyFont="1" applyBorder="1"/>
    <xf numFmtId="3" fontId="19" fillId="0" borderId="1" xfId="0" applyNumberFormat="1" applyFont="1" applyBorder="1"/>
    <xf numFmtId="6" fontId="19" fillId="0" borderId="1" xfId="1" applyNumberFormat="1" applyFont="1" applyFill="1" applyBorder="1" applyAlignment="1">
      <alignment horizontal="right"/>
    </xf>
    <xf numFmtId="6" fontId="19" fillId="0" borderId="1" xfId="1" applyNumberFormat="1" applyFont="1" applyFill="1" applyBorder="1"/>
    <xf numFmtId="6" fontId="18" fillId="0" borderId="1" xfId="0" applyNumberFormat="1" applyFont="1" applyBorder="1" applyAlignment="1">
      <alignment wrapText="1"/>
    </xf>
    <xf numFmtId="6" fontId="19" fillId="0" borderId="1" xfId="0" applyNumberFormat="1" applyFont="1" applyFill="1" applyBorder="1"/>
    <xf numFmtId="2" fontId="18" fillId="0" borderId="1" xfId="0" applyNumberFormat="1" applyFont="1" applyBorder="1"/>
    <xf numFmtId="10" fontId="19" fillId="0" borderId="1" xfId="0" applyNumberFormat="1" applyFont="1" applyBorder="1"/>
    <xf numFmtId="0" fontId="20" fillId="0" borderId="0" xfId="0" applyFont="1" applyBorder="1"/>
    <xf numFmtId="3" fontId="20" fillId="0" borderId="0" xfId="0" applyNumberFormat="1" applyFont="1" applyAlignment="1">
      <alignment wrapText="1"/>
    </xf>
    <xf numFmtId="6" fontId="20" fillId="0" borderId="0" xfId="0" applyNumberFormat="1" applyFont="1" applyBorder="1"/>
    <xf numFmtId="6" fontId="20" fillId="0" borderId="0" xfId="0" applyNumberFormat="1" applyFont="1"/>
    <xf numFmtId="6" fontId="20" fillId="0" borderId="0" xfId="0" applyNumberFormat="1" applyFont="1" applyFill="1" applyBorder="1"/>
    <xf numFmtId="3" fontId="20" fillId="0" borderId="0" xfId="0" applyNumberFormat="1" applyFont="1" applyBorder="1"/>
    <xf numFmtId="0" fontId="20" fillId="0" borderId="0" xfId="0" applyFont="1" applyFill="1" applyBorder="1"/>
    <xf numFmtId="3" fontId="29" fillId="0" borderId="0" xfId="0" applyNumberFormat="1" applyFont="1"/>
    <xf numFmtId="6" fontId="29" fillId="0" borderId="0" xfId="0" applyNumberFormat="1" applyFont="1"/>
    <xf numFmtId="6" fontId="18" fillId="0" borderId="0" xfId="1" applyNumberFormat="1" applyFont="1" applyFill="1" applyBorder="1" applyAlignment="1">
      <alignment horizontal="right"/>
    </xf>
    <xf numFmtId="6" fontId="18" fillId="0" borderId="0" xfId="1" applyNumberFormat="1" applyFont="1" applyFill="1" applyBorder="1"/>
    <xf numFmtId="3" fontId="29" fillId="0" borderId="0" xfId="0" applyNumberFormat="1" applyFont="1" applyBorder="1"/>
    <xf numFmtId="6" fontId="18" fillId="0" borderId="0" xfId="0" applyNumberFormat="1" applyFont="1" applyBorder="1" applyAlignment="1">
      <alignment wrapText="1"/>
    </xf>
    <xf numFmtId="6" fontId="29" fillId="0" borderId="0" xfId="0" applyNumberFormat="1" applyFont="1" applyBorder="1"/>
    <xf numFmtId="9" fontId="19" fillId="0" borderId="0" xfId="0" applyNumberFormat="1" applyFont="1" applyBorder="1"/>
    <xf numFmtId="0" fontId="19" fillId="4" borderId="15" xfId="0" applyFont="1" applyFill="1" applyBorder="1"/>
    <xf numFmtId="6" fontId="18" fillId="4" borderId="15" xfId="0" applyNumberFormat="1" applyFont="1" applyFill="1" applyBorder="1" applyAlignment="1">
      <alignment horizontal="right"/>
    </xf>
    <xf numFmtId="6" fontId="19" fillId="4" borderId="15" xfId="0" applyNumberFormat="1" applyFont="1" applyFill="1" applyBorder="1" applyAlignment="1">
      <alignment horizontal="right"/>
    </xf>
    <xf numFmtId="10" fontId="19" fillId="4" borderId="15" xfId="0" applyNumberFormat="1" applyFont="1" applyFill="1" applyBorder="1" applyAlignment="1">
      <alignment horizontal="right"/>
    </xf>
    <xf numFmtId="6" fontId="18" fillId="4" borderId="15" xfId="0" applyNumberFormat="1" applyFont="1" applyFill="1" applyBorder="1"/>
    <xf numFmtId="6" fontId="19" fillId="4" borderId="15" xfId="0" applyNumberFormat="1" applyFont="1" applyFill="1" applyBorder="1"/>
    <xf numFmtId="10" fontId="19" fillId="4" borderId="15" xfId="0" applyNumberFormat="1" applyFont="1" applyFill="1" applyBorder="1"/>
    <xf numFmtId="164" fontId="19" fillId="4" borderId="15" xfId="0" applyNumberFormat="1" applyFont="1" applyFill="1" applyBorder="1"/>
    <xf numFmtId="165" fontId="19" fillId="4" borderId="15" xfId="0" applyNumberFormat="1" applyFont="1" applyFill="1" applyBorder="1"/>
    <xf numFmtId="1" fontId="19" fillId="4" borderId="15" xfId="0" applyNumberFormat="1" applyFont="1" applyFill="1" applyBorder="1"/>
    <xf numFmtId="3" fontId="19" fillId="4" borderId="15" xfId="0" applyNumberFormat="1" applyFont="1" applyFill="1" applyBorder="1"/>
    <xf numFmtId="3" fontId="19" fillId="4" borderId="15" xfId="0" applyNumberFormat="1" applyFont="1" applyFill="1" applyBorder="1" applyAlignment="1">
      <alignment wrapText="1"/>
    </xf>
    <xf numFmtId="165" fontId="19" fillId="4" borderId="0" xfId="0" applyNumberFormat="1" applyFont="1" applyFill="1" applyBorder="1"/>
    <xf numFmtId="8" fontId="18" fillId="0" borderId="0" xfId="0" applyNumberFormat="1" applyFont="1"/>
    <xf numFmtId="165" fontId="18" fillId="0" borderId="0" xfId="0" applyNumberFormat="1" applyFont="1" applyAlignment="1"/>
    <xf numFmtId="9" fontId="18" fillId="0" borderId="0" xfId="1" applyNumberFormat="1" applyFont="1" applyFill="1"/>
    <xf numFmtId="9" fontId="18" fillId="0" borderId="0" xfId="0" applyNumberFormat="1" applyFont="1" applyFill="1"/>
    <xf numFmtId="165" fontId="19" fillId="8" borderId="1" xfId="0" applyNumberFormat="1" applyFont="1" applyFill="1" applyBorder="1" applyAlignment="1">
      <alignment horizontal="center"/>
    </xf>
    <xf numFmtId="0" fontId="18" fillId="12" borderId="0" xfId="0" applyFont="1" applyFill="1"/>
    <xf numFmtId="0" fontId="18" fillId="12" borderId="0" xfId="0" applyFont="1" applyFill="1" applyBorder="1"/>
    <xf numFmtId="0" fontId="19" fillId="14" borderId="9" xfId="0" applyFont="1" applyFill="1" applyBorder="1" applyAlignment="1">
      <alignment horizontal="center"/>
    </xf>
    <xf numFmtId="0" fontId="19" fillId="12" borderId="2" xfId="0" applyFont="1" applyFill="1" applyBorder="1" applyAlignment="1">
      <alignment horizontal="center"/>
    </xf>
    <xf numFmtId="0" fontId="19" fillId="0" borderId="2" xfId="0" applyFont="1" applyFill="1" applyBorder="1" applyAlignment="1">
      <alignment horizontal="center"/>
    </xf>
    <xf numFmtId="10" fontId="19" fillId="0" borderId="2" xfId="0" applyNumberFormat="1" applyFont="1" applyFill="1" applyBorder="1" applyAlignment="1">
      <alignment horizontal="center"/>
    </xf>
    <xf numFmtId="0" fontId="19" fillId="14" borderId="2" xfId="0" applyFont="1" applyFill="1" applyBorder="1" applyAlignment="1">
      <alignment horizontal="center"/>
    </xf>
    <xf numFmtId="10" fontId="19" fillId="0" borderId="5" xfId="0" applyNumberFormat="1" applyFont="1" applyFill="1" applyBorder="1" applyAlignment="1">
      <alignment horizontal="center"/>
    </xf>
    <xf numFmtId="6" fontId="19" fillId="14" borderId="2" xfId="0" applyNumberFormat="1" applyFont="1" applyFill="1" applyBorder="1" applyAlignment="1">
      <alignment horizontal="center"/>
    </xf>
    <xf numFmtId="166" fontId="19" fillId="12" borderId="2" xfId="0" applyNumberFormat="1" applyFont="1" applyFill="1" applyBorder="1" applyAlignment="1">
      <alignment horizontal="center"/>
    </xf>
    <xf numFmtId="6" fontId="19" fillId="14" borderId="9" xfId="0" applyNumberFormat="1" applyFont="1" applyFill="1" applyBorder="1" applyAlignment="1">
      <alignment horizontal="center"/>
    </xf>
    <xf numFmtId="0" fontId="19" fillId="12" borderId="8" xfId="0" applyFont="1" applyFill="1" applyBorder="1" applyAlignment="1">
      <alignment horizontal="center"/>
    </xf>
    <xf numFmtId="0" fontId="18" fillId="0" borderId="3" xfId="0" applyFont="1" applyFill="1" applyBorder="1" applyAlignment="1">
      <alignment horizontal="center"/>
    </xf>
    <xf numFmtId="6" fontId="19" fillId="14" borderId="3" xfId="0" applyNumberFormat="1" applyFont="1" applyFill="1" applyBorder="1" applyAlignment="1">
      <alignment horizontal="center"/>
    </xf>
    <xf numFmtId="6" fontId="19" fillId="0" borderId="10" xfId="0" applyNumberFormat="1" applyFont="1" applyFill="1" applyBorder="1" applyAlignment="1">
      <alignment horizontal="left"/>
    </xf>
    <xf numFmtId="0" fontId="19" fillId="0" borderId="7" xfId="0" applyFont="1" applyFill="1" applyBorder="1" applyAlignment="1">
      <alignment horizontal="center"/>
    </xf>
    <xf numFmtId="0" fontId="19" fillId="0" borderId="0" xfId="0" applyFont="1" applyFill="1" applyBorder="1" applyAlignment="1">
      <alignment horizontal="center"/>
    </xf>
    <xf numFmtId="164" fontId="18" fillId="0" borderId="5" xfId="0" applyNumberFormat="1" applyFont="1" applyFill="1" applyBorder="1" applyAlignment="1"/>
    <xf numFmtId="6" fontId="19" fillId="12" borderId="3" xfId="0" applyNumberFormat="1" applyFont="1" applyFill="1" applyBorder="1" applyAlignment="1">
      <alignment horizontal="center"/>
    </xf>
    <xf numFmtId="6" fontId="19" fillId="6" borderId="10" xfId="0" applyNumberFormat="1" applyFont="1" applyFill="1" applyBorder="1" applyAlignment="1">
      <alignment horizontal="left"/>
    </xf>
    <xf numFmtId="164" fontId="18" fillId="6" borderId="5" xfId="0" applyNumberFormat="1" applyFont="1" applyFill="1" applyBorder="1" applyAlignment="1"/>
    <xf numFmtId="164" fontId="19" fillId="7" borderId="1" xfId="0" applyNumberFormat="1" applyFont="1" applyFill="1" applyBorder="1" applyAlignment="1">
      <alignment horizontal="center"/>
    </xf>
    <xf numFmtId="164" fontId="19" fillId="7" borderId="7" xfId="0" applyNumberFormat="1" applyFont="1" applyFill="1" applyBorder="1" applyAlignment="1">
      <alignment horizontal="center"/>
    </xf>
    <xf numFmtId="164" fontId="19" fillId="7" borderId="2" xfId="0" applyNumberFormat="1" applyFont="1" applyFill="1" applyBorder="1" applyAlignment="1">
      <alignment horizontal="center"/>
    </xf>
    <xf numFmtId="0" fontId="19" fillId="7" borderId="7" xfId="0" applyFont="1" applyFill="1" applyBorder="1" applyAlignment="1">
      <alignment horizontal="center"/>
    </xf>
    <xf numFmtId="0" fontId="19" fillId="7" borderId="7" xfId="0" applyFont="1" applyFill="1" applyBorder="1"/>
    <xf numFmtId="165" fontId="19" fillId="8" borderId="2" xfId="0" applyNumberFormat="1" applyFont="1" applyFill="1" applyBorder="1" applyAlignment="1">
      <alignment horizontal="center"/>
    </xf>
    <xf numFmtId="0" fontId="19" fillId="8" borderId="7" xfId="0" applyFont="1" applyFill="1" applyBorder="1"/>
    <xf numFmtId="0" fontId="18" fillId="8" borderId="1" xfId="0" applyFont="1" applyFill="1" applyBorder="1"/>
    <xf numFmtId="165" fontId="18" fillId="8" borderId="9" xfId="0" applyNumberFormat="1" applyFont="1" applyFill="1" applyBorder="1"/>
    <xf numFmtId="164" fontId="19" fillId="8" borderId="7" xfId="0" applyNumberFormat="1" applyFont="1" applyFill="1" applyBorder="1" applyAlignment="1">
      <alignment horizontal="center"/>
    </xf>
    <xf numFmtId="164" fontId="19" fillId="8" borderId="2" xfId="0" applyNumberFormat="1" applyFont="1" applyFill="1" applyBorder="1" applyAlignment="1">
      <alignment horizontal="center"/>
    </xf>
    <xf numFmtId="0" fontId="19" fillId="8" borderId="7" xfId="0" applyFont="1" applyFill="1" applyBorder="1" applyAlignment="1">
      <alignment horizontal="center"/>
    </xf>
    <xf numFmtId="0" fontId="19" fillId="12" borderId="7" xfId="0" applyFont="1" applyFill="1" applyBorder="1" applyAlignment="1">
      <alignment horizontal="center"/>
    </xf>
    <xf numFmtId="0" fontId="19" fillId="14" borderId="7" xfId="0" applyFont="1" applyFill="1" applyBorder="1"/>
    <xf numFmtId="0" fontId="18" fillId="14" borderId="22" xfId="0" applyFont="1" applyFill="1" applyBorder="1"/>
    <xf numFmtId="0" fontId="19" fillId="12" borderId="3" xfId="0" applyFont="1" applyFill="1" applyBorder="1" applyAlignment="1">
      <alignment horizontal="center"/>
    </xf>
    <xf numFmtId="0" fontId="19" fillId="12" borderId="3" xfId="0" applyFont="1" applyFill="1" applyBorder="1" applyAlignment="1">
      <alignment horizontal="left"/>
    </xf>
    <xf numFmtId="0" fontId="19" fillId="12" borderId="3" xfId="0" applyFont="1" applyFill="1" applyBorder="1"/>
    <xf numFmtId="0" fontId="19" fillId="14" borderId="3" xfId="0" applyFont="1" applyFill="1" applyBorder="1" applyAlignment="1">
      <alignment horizontal="center"/>
    </xf>
    <xf numFmtId="0" fontId="19" fillId="12" borderId="2" xfId="0" applyFont="1" applyFill="1" applyBorder="1" applyAlignment="1">
      <alignment vertical="center"/>
    </xf>
    <xf numFmtId="0" fontId="19" fillId="14" borderId="2" xfId="0" applyFont="1" applyFill="1" applyBorder="1" applyAlignment="1">
      <alignment horizontal="center" wrapText="1"/>
    </xf>
    <xf numFmtId="0" fontId="19" fillId="12" borderId="2" xfId="0" applyFont="1" applyFill="1" applyBorder="1" applyAlignment="1">
      <alignment horizontal="center" wrapText="1"/>
    </xf>
    <xf numFmtId="0" fontId="19" fillId="0" borderId="21" xfId="0" applyFont="1" applyFill="1" applyBorder="1" applyAlignment="1">
      <alignment horizontal="center"/>
    </xf>
    <xf numFmtId="10" fontId="19" fillId="0" borderId="9" xfId="0" applyNumberFormat="1" applyFont="1" applyFill="1" applyBorder="1" applyAlignment="1">
      <alignment horizontal="center"/>
    </xf>
    <xf numFmtId="6" fontId="19" fillId="0" borderId="21" xfId="0" applyNumberFormat="1" applyFont="1" applyFill="1" applyBorder="1" applyAlignment="1">
      <alignment horizontal="center"/>
    </xf>
    <xf numFmtId="6" fontId="19" fillId="12" borderId="3" xfId="0" applyNumberFormat="1" applyFont="1" applyFill="1" applyBorder="1" applyAlignment="1">
      <alignment horizontal="center" wrapText="1"/>
    </xf>
    <xf numFmtId="6" fontId="19" fillId="0" borderId="2" xfId="0" applyNumberFormat="1" applyFont="1" applyFill="1" applyBorder="1" applyAlignment="1">
      <alignment horizontal="center"/>
    </xf>
    <xf numFmtId="9" fontId="19" fillId="0" borderId="9" xfId="0" applyNumberFormat="1" applyFont="1" applyFill="1" applyBorder="1" applyAlignment="1">
      <alignment horizontal="center"/>
    </xf>
    <xf numFmtId="0" fontId="18" fillId="0" borderId="3" xfId="0" applyFont="1" applyFill="1" applyBorder="1" applyAlignment="1">
      <alignment horizontal="center" wrapText="1"/>
    </xf>
    <xf numFmtId="6" fontId="19" fillId="14" borderId="3" xfId="0" applyNumberFormat="1" applyFont="1" applyFill="1" applyBorder="1" applyAlignment="1">
      <alignment horizontal="center" wrapText="1"/>
    </xf>
    <xf numFmtId="0" fontId="19" fillId="0" borderId="2" xfId="0" applyFont="1" applyFill="1" applyBorder="1" applyAlignment="1">
      <alignment horizontal="center" wrapText="1"/>
    </xf>
    <xf numFmtId="0" fontId="19" fillId="0" borderId="7" xfId="0" applyFont="1" applyFill="1" applyBorder="1" applyAlignment="1">
      <alignment horizontal="center" wrapText="1"/>
    </xf>
    <xf numFmtId="0" fontId="19" fillId="0" borderId="9" xfId="0" applyFont="1" applyFill="1" applyBorder="1" applyAlignment="1">
      <alignment wrapText="1"/>
    </xf>
    <xf numFmtId="6" fontId="19" fillId="0" borderId="3" xfId="0" applyNumberFormat="1" applyFont="1" applyFill="1" applyBorder="1" applyAlignment="1">
      <alignment horizontal="center" wrapText="1"/>
    </xf>
    <xf numFmtId="164" fontId="19" fillId="0" borderId="9" xfId="0" applyNumberFormat="1" applyFont="1" applyFill="1" applyBorder="1" applyAlignment="1">
      <alignment horizontal="center"/>
    </xf>
    <xf numFmtId="164" fontId="19" fillId="12" borderId="9" xfId="0" applyNumberFormat="1" applyFont="1" applyFill="1" applyBorder="1" applyAlignment="1">
      <alignment horizontal="center"/>
    </xf>
    <xf numFmtId="6" fontId="19" fillId="6" borderId="2" xfId="0" applyNumberFormat="1" applyFont="1" applyFill="1" applyBorder="1" applyAlignment="1">
      <alignment horizontal="center"/>
    </xf>
    <xf numFmtId="164" fontId="19" fillId="6" borderId="9" xfId="0" applyNumberFormat="1" applyFont="1" applyFill="1" applyBorder="1" applyAlignment="1">
      <alignment horizontal="center"/>
    </xf>
    <xf numFmtId="164" fontId="19" fillId="7" borderId="10" xfId="0" applyNumberFormat="1" applyFont="1" applyFill="1" applyBorder="1" applyAlignment="1">
      <alignment horizontal="center"/>
    </xf>
    <xf numFmtId="164" fontId="19" fillId="7" borderId="3" xfId="0" applyNumberFormat="1" applyFont="1" applyFill="1" applyBorder="1" applyAlignment="1">
      <alignment horizontal="center"/>
    </xf>
    <xf numFmtId="0" fontId="19" fillId="7" borderId="10" xfId="0" applyFont="1" applyFill="1" applyBorder="1" applyAlignment="1">
      <alignment horizontal="left" wrapText="1"/>
    </xf>
    <xf numFmtId="0" fontId="19" fillId="7" borderId="10" xfId="0" applyFont="1" applyFill="1" applyBorder="1" applyAlignment="1">
      <alignment horizontal="center"/>
    </xf>
    <xf numFmtId="0" fontId="19" fillId="8" borderId="10" xfId="0" applyFont="1" applyFill="1" applyBorder="1" applyAlignment="1">
      <alignment horizontal="center"/>
    </xf>
    <xf numFmtId="0" fontId="19" fillId="8" borderId="20" xfId="0" applyFont="1" applyFill="1" applyBorder="1" applyAlignment="1">
      <alignment horizontal="center"/>
    </xf>
    <xf numFmtId="165" fontId="18" fillId="8" borderId="3" xfId="0" applyNumberFormat="1" applyFont="1" applyFill="1" applyBorder="1"/>
    <xf numFmtId="164" fontId="19" fillId="8" borderId="10" xfId="0" applyNumberFormat="1" applyFont="1" applyFill="1" applyBorder="1" applyAlignment="1">
      <alignment horizontal="center"/>
    </xf>
    <xf numFmtId="164" fontId="19" fillId="8" borderId="3" xfId="0" applyNumberFormat="1" applyFont="1" applyFill="1" applyBorder="1" applyAlignment="1">
      <alignment horizontal="center"/>
    </xf>
    <xf numFmtId="0" fontId="19" fillId="8" borderId="10" xfId="0" applyFont="1" applyFill="1" applyBorder="1" applyAlignment="1">
      <alignment horizontal="left" wrapText="1"/>
    </xf>
    <xf numFmtId="0" fontId="19" fillId="12" borderId="10" xfId="0" applyFont="1" applyFill="1" applyBorder="1" applyAlignment="1">
      <alignment horizontal="center" wrapText="1"/>
    </xf>
    <xf numFmtId="0" fontId="19" fillId="14" borderId="23" xfId="0" applyFont="1" applyFill="1" applyBorder="1" applyAlignment="1">
      <alignment horizontal="center"/>
    </xf>
    <xf numFmtId="0" fontId="19" fillId="12" borderId="3" xfId="0" applyFont="1" applyFill="1" applyBorder="1" applyAlignment="1">
      <alignment horizontal="center" wrapText="1"/>
    </xf>
    <xf numFmtId="9" fontId="18" fillId="4" borderId="0" xfId="1" applyNumberFormat="1" applyFont="1" applyFill="1"/>
    <xf numFmtId="38" fontId="18" fillId="0" borderId="0" xfId="0" applyNumberFormat="1" applyFont="1"/>
    <xf numFmtId="165" fontId="18" fillId="9" borderId="0" xfId="0" applyNumberFormat="1" applyFont="1" applyFill="1"/>
    <xf numFmtId="164" fontId="18" fillId="0" borderId="0" xfId="5" applyNumberFormat="1" applyFont="1"/>
    <xf numFmtId="10" fontId="18" fillId="0" borderId="0" xfId="0" applyNumberFormat="1" applyFont="1" applyFill="1" applyBorder="1" applyAlignment="1">
      <alignment horizontal="right"/>
    </xf>
    <xf numFmtId="6" fontId="18" fillId="0" borderId="0" xfId="0" applyNumberFormat="1" applyFont="1" applyFill="1" applyAlignment="1">
      <alignment wrapText="1"/>
    </xf>
    <xf numFmtId="165" fontId="30" fillId="0" borderId="0" xfId="0" applyNumberFormat="1" applyFont="1" applyFill="1"/>
    <xf numFmtId="165" fontId="30" fillId="0" borderId="11" xfId="0" applyNumberFormat="1" applyFont="1" applyFill="1" applyBorder="1" applyAlignment="1">
      <alignment horizontal="right" vertical="center" wrapText="1"/>
    </xf>
    <xf numFmtId="6" fontId="18" fillId="0" borderId="0" xfId="0" applyNumberFormat="1" applyFont="1" applyFill="1" applyAlignment="1">
      <alignment horizontal="right"/>
    </xf>
    <xf numFmtId="164" fontId="18" fillId="0" borderId="0" xfId="0" applyNumberFormat="1" applyFont="1" applyFill="1" applyAlignment="1">
      <alignment horizontal="right"/>
    </xf>
    <xf numFmtId="164" fontId="18" fillId="0" borderId="0" xfId="1" applyNumberFormat="1" applyFont="1" applyFill="1" applyAlignment="1">
      <alignment horizontal="right"/>
    </xf>
    <xf numFmtId="164" fontId="18" fillId="0" borderId="0" xfId="0" applyNumberFormat="1" applyFont="1" applyFill="1" applyAlignment="1">
      <alignment horizontal="right" vertical="top"/>
    </xf>
    <xf numFmtId="6" fontId="18" fillId="0" borderId="0" xfId="0" applyNumberFormat="1" applyFont="1" applyFill="1" applyAlignment="1">
      <alignment horizontal="right" vertical="top"/>
    </xf>
    <xf numFmtId="3" fontId="18" fillId="0" borderId="0" xfId="0" applyNumberFormat="1" applyFont="1" applyFill="1" applyAlignment="1">
      <alignment horizontal="right" vertical="top"/>
    </xf>
    <xf numFmtId="165" fontId="18" fillId="0" borderId="0" xfId="0" applyNumberFormat="1" applyFont="1" applyFill="1" applyBorder="1"/>
    <xf numFmtId="0" fontId="18" fillId="0" borderId="0" xfId="0" applyNumberFormat="1" applyFont="1"/>
    <xf numFmtId="6" fontId="18" fillId="0" borderId="0" xfId="0" applyNumberFormat="1" applyFont="1" applyAlignment="1">
      <alignment horizontal="right" vertical="top"/>
    </xf>
    <xf numFmtId="6" fontId="2" fillId="0" borderId="0" xfId="0" applyNumberFormat="1" applyFont="1" applyFill="1"/>
    <xf numFmtId="9" fontId="18" fillId="0" borderId="0" xfId="1" applyNumberFormat="1" applyFont="1" applyFill="1" applyBorder="1"/>
    <xf numFmtId="0" fontId="28" fillId="0" borderId="0" xfId="0" applyFont="1" applyFill="1" applyBorder="1"/>
    <xf numFmtId="6" fontId="28" fillId="0" borderId="0" xfId="0" applyNumberFormat="1" applyFont="1" applyBorder="1"/>
    <xf numFmtId="164" fontId="28" fillId="0" borderId="0" xfId="0" applyNumberFormat="1" applyFont="1" applyBorder="1"/>
    <xf numFmtId="6" fontId="28" fillId="0" borderId="0" xfId="1" applyNumberFormat="1" applyFont="1" applyFill="1" applyBorder="1" applyAlignment="1">
      <alignment horizontal="right"/>
    </xf>
    <xf numFmtId="165" fontId="28" fillId="0" borderId="0" xfId="0" applyNumberFormat="1" applyFont="1" applyFill="1" applyBorder="1" applyAlignment="1">
      <alignment horizontal="right" wrapText="1"/>
    </xf>
    <xf numFmtId="6" fontId="28" fillId="0" borderId="0" xfId="0" applyNumberFormat="1" applyFont="1" applyFill="1" applyBorder="1"/>
    <xf numFmtId="6" fontId="28" fillId="0" borderId="0" xfId="0" applyNumberFormat="1" applyFont="1" applyBorder="1" applyAlignment="1">
      <alignment wrapText="1"/>
    </xf>
    <xf numFmtId="9" fontId="28" fillId="0" borderId="0" xfId="0" applyNumberFormat="1" applyFont="1" applyBorder="1"/>
    <xf numFmtId="6" fontId="28" fillId="0" borderId="0" xfId="0" applyNumberFormat="1" applyFont="1"/>
    <xf numFmtId="3" fontId="28" fillId="0" borderId="0" xfId="0" applyNumberFormat="1" applyFont="1" applyBorder="1"/>
    <xf numFmtId="3" fontId="28" fillId="0" borderId="0" xfId="0" applyNumberFormat="1" applyFont="1"/>
    <xf numFmtId="9" fontId="28" fillId="0" borderId="0" xfId="0" applyNumberFormat="1" applyFont="1"/>
    <xf numFmtId="165" fontId="28" fillId="0" borderId="0" xfId="0" applyNumberFormat="1" applyFont="1" applyBorder="1"/>
    <xf numFmtId="38" fontId="18" fillId="0" borderId="0" xfId="0" applyNumberFormat="1" applyFont="1" applyFill="1"/>
    <xf numFmtId="6" fontId="18" fillId="0" borderId="1" xfId="1" applyNumberFormat="1" applyFont="1" applyFill="1" applyBorder="1" applyAlignment="1">
      <alignment horizontal="right"/>
    </xf>
    <xf numFmtId="6" fontId="18" fillId="0" borderId="1" xfId="1" applyNumberFormat="1" applyFont="1" applyFill="1" applyBorder="1"/>
    <xf numFmtId="9" fontId="18" fillId="0" borderId="1" xfId="1" applyNumberFormat="1" applyFont="1" applyFill="1" applyBorder="1"/>
    <xf numFmtId="38" fontId="18" fillId="0" borderId="1" xfId="0" applyNumberFormat="1" applyFont="1" applyBorder="1"/>
    <xf numFmtId="164" fontId="19" fillId="0" borderId="0" xfId="5" applyNumberFormat="1" applyFont="1" applyFill="1" applyBorder="1"/>
    <xf numFmtId="9" fontId="19" fillId="0" borderId="0" xfId="1" applyNumberFormat="1" applyFont="1" applyFill="1" applyBorder="1"/>
    <xf numFmtId="6" fontId="19" fillId="0" borderId="0" xfId="0" applyNumberFormat="1" applyFont="1" applyFill="1" applyBorder="1" applyAlignment="1">
      <alignment wrapText="1"/>
    </xf>
    <xf numFmtId="9" fontId="19" fillId="0" borderId="0" xfId="0" applyNumberFormat="1" applyFont="1" applyFill="1" applyBorder="1"/>
    <xf numFmtId="165" fontId="19" fillId="0" borderId="15" xfId="0" applyNumberFormat="1" applyFont="1" applyBorder="1"/>
    <xf numFmtId="164" fontId="19" fillId="0" borderId="15" xfId="0" applyNumberFormat="1" applyFont="1" applyBorder="1"/>
    <xf numFmtId="164" fontId="19" fillId="0" borderId="15" xfId="5" applyNumberFormat="1" applyFont="1" applyBorder="1"/>
    <xf numFmtId="10" fontId="19" fillId="0" borderId="0" xfId="0" applyNumberFormat="1" applyFont="1" applyFill="1"/>
    <xf numFmtId="164" fontId="19" fillId="0" borderId="0" xfId="5" applyNumberFormat="1" applyFont="1" applyFill="1"/>
    <xf numFmtId="9" fontId="19" fillId="0" borderId="0" xfId="1" applyNumberFormat="1" applyFont="1" applyFill="1"/>
    <xf numFmtId="6" fontId="19" fillId="0" borderId="0" xfId="0" applyNumberFormat="1" applyFont="1" applyFill="1" applyAlignment="1">
      <alignment wrapText="1"/>
    </xf>
    <xf numFmtId="9" fontId="19" fillId="0" borderId="0" xfId="0" applyNumberFormat="1" applyFont="1" applyFill="1"/>
    <xf numFmtId="164" fontId="18" fillId="0" borderId="0" xfId="5" applyNumberFormat="1" applyFont="1" applyFill="1"/>
    <xf numFmtId="165" fontId="18" fillId="0" borderId="0" xfId="0" applyNumberFormat="1" applyFont="1" applyAlignment="1">
      <alignment horizontal="right"/>
    </xf>
    <xf numFmtId="166" fontId="18" fillId="0" borderId="0" xfId="0" applyNumberFormat="1" applyFont="1" applyFill="1"/>
    <xf numFmtId="166" fontId="18" fillId="0" borderId="0" xfId="0" applyNumberFormat="1" applyFont="1"/>
    <xf numFmtId="6" fontId="18" fillId="0" borderId="0" xfId="0" applyNumberFormat="1" applyFont="1" applyBorder="1" applyAlignment="1">
      <alignment horizontal="right" vertical="top"/>
    </xf>
    <xf numFmtId="166" fontId="18" fillId="0" borderId="0" xfId="0" applyNumberFormat="1" applyFont="1" applyBorder="1"/>
    <xf numFmtId="10" fontId="19" fillId="0" borderId="0" xfId="0" applyNumberFormat="1" applyFont="1" applyFill="1" applyBorder="1" applyAlignment="1">
      <alignment horizontal="right"/>
    </xf>
    <xf numFmtId="6" fontId="19" fillId="0" borderId="0" xfId="0" applyNumberFormat="1" applyFont="1" applyBorder="1" applyAlignment="1">
      <alignment wrapText="1"/>
    </xf>
    <xf numFmtId="164" fontId="19" fillId="0" borderId="15" xfId="5" applyNumberFormat="1" applyFont="1" applyFill="1" applyBorder="1"/>
    <xf numFmtId="6" fontId="18" fillId="0" borderId="0" xfId="0" applyNumberFormat="1" applyFont="1" applyFill="1" applyBorder="1" applyAlignment="1">
      <alignment wrapText="1"/>
    </xf>
    <xf numFmtId="9" fontId="18" fillId="0" borderId="0" xfId="0" applyNumberFormat="1" applyFont="1" applyFill="1" applyBorder="1"/>
    <xf numFmtId="165" fontId="19" fillId="0" borderId="0" xfId="0" applyNumberFormat="1" applyFont="1" applyFill="1" applyBorder="1" applyAlignment="1">
      <alignment horizontal="right"/>
    </xf>
    <xf numFmtId="165" fontId="19" fillId="0" borderId="0" xfId="5" applyNumberFormat="1" applyFont="1" applyBorder="1"/>
    <xf numFmtId="165" fontId="19" fillId="0" borderId="0" xfId="0" applyNumberFormat="1" applyFont="1" applyBorder="1" applyAlignment="1">
      <alignment horizontal="right"/>
    </xf>
    <xf numFmtId="165" fontId="19" fillId="0" borderId="0" xfId="1" applyNumberFormat="1" applyFont="1" applyFill="1" applyBorder="1"/>
    <xf numFmtId="165" fontId="19" fillId="0" borderId="15" xfId="0" applyNumberFormat="1" applyFont="1" applyFill="1" applyBorder="1"/>
    <xf numFmtId="164" fontId="19" fillId="0" borderId="0" xfId="5" applyNumberFormat="1" applyFont="1"/>
    <xf numFmtId="10" fontId="18" fillId="0" borderId="0" xfId="0" applyNumberFormat="1" applyFont="1" applyFill="1" applyAlignment="1">
      <alignment horizontal="right"/>
    </xf>
    <xf numFmtId="6" fontId="18" fillId="9" borderId="0" xfId="0" applyNumberFormat="1" applyFont="1" applyFill="1"/>
    <xf numFmtId="164" fontId="18" fillId="9" borderId="0" xfId="0" applyNumberFormat="1" applyFont="1" applyFill="1"/>
    <xf numFmtId="3" fontId="18" fillId="9" borderId="0" xfId="0" applyNumberFormat="1" applyFont="1" applyFill="1"/>
    <xf numFmtId="10" fontId="18" fillId="8" borderId="0" xfId="0" applyNumberFormat="1" applyFont="1" applyFill="1"/>
    <xf numFmtId="166" fontId="18" fillId="0" borderId="0" xfId="0" applyNumberFormat="1" applyFont="1" applyFill="1" applyBorder="1"/>
    <xf numFmtId="6" fontId="18" fillId="9" borderId="0" xfId="0" applyNumberFormat="1" applyFont="1" applyFill="1" applyBorder="1"/>
    <xf numFmtId="164" fontId="18" fillId="9" borderId="0" xfId="0" applyNumberFormat="1" applyFont="1" applyFill="1" applyBorder="1"/>
    <xf numFmtId="3" fontId="18" fillId="9" borderId="0" xfId="0" applyNumberFormat="1" applyFont="1" applyFill="1" applyBorder="1"/>
    <xf numFmtId="165" fontId="18" fillId="9" borderId="0" xfId="0" applyNumberFormat="1" applyFont="1" applyFill="1" applyBorder="1"/>
    <xf numFmtId="10" fontId="18" fillId="8" borderId="0" xfId="0" applyNumberFormat="1" applyFont="1" applyFill="1" applyBorder="1"/>
    <xf numFmtId="9" fontId="18" fillId="0" borderId="1" xfId="0" applyNumberFormat="1" applyFont="1" applyFill="1" applyBorder="1"/>
    <xf numFmtId="38" fontId="18" fillId="0" borderId="1" xfId="0" applyNumberFormat="1" applyFont="1" applyFill="1" applyBorder="1"/>
    <xf numFmtId="6" fontId="18" fillId="9" borderId="1" xfId="0" applyNumberFormat="1" applyFont="1" applyFill="1" applyBorder="1"/>
    <xf numFmtId="164" fontId="18" fillId="9" borderId="1" xfId="0" applyNumberFormat="1" applyFont="1" applyFill="1" applyBorder="1"/>
    <xf numFmtId="3" fontId="18" fillId="9" borderId="1" xfId="0" applyNumberFormat="1" applyFont="1" applyFill="1" applyBorder="1"/>
    <xf numFmtId="165" fontId="18" fillId="9" borderId="1" xfId="0" applyNumberFormat="1" applyFont="1" applyFill="1" applyBorder="1"/>
    <xf numFmtId="10" fontId="18" fillId="8" borderId="1" xfId="0" applyNumberFormat="1" applyFont="1" applyFill="1" applyBorder="1"/>
    <xf numFmtId="165" fontId="19" fillId="0" borderId="0" xfId="0" applyNumberFormat="1" applyFont="1" applyBorder="1" applyAlignment="1">
      <alignment horizontal="right" wrapText="1"/>
    </xf>
    <xf numFmtId="165" fontId="19" fillId="9" borderId="0" xfId="0" applyNumberFormat="1" applyFont="1" applyFill="1" applyBorder="1"/>
    <xf numFmtId="164" fontId="19" fillId="0" borderId="0" xfId="0" applyNumberFormat="1" applyFont="1" applyFill="1" applyBorder="1" applyAlignment="1">
      <alignment horizontal="right"/>
    </xf>
    <xf numFmtId="6" fontId="19" fillId="0" borderId="0" xfId="0" applyNumberFormat="1" applyFont="1" applyAlignment="1">
      <alignment horizontal="right" wrapText="1"/>
    </xf>
    <xf numFmtId="165" fontId="18" fillId="0" borderId="0" xfId="0" applyNumberFormat="1" applyFont="1" applyFill="1" applyAlignment="1">
      <alignment horizontal="right"/>
    </xf>
    <xf numFmtId="0" fontId="18" fillId="0" borderId="1" xfId="0" applyFont="1" applyBorder="1" applyAlignment="1">
      <alignment horizontal="right"/>
    </xf>
    <xf numFmtId="0" fontId="18" fillId="0" borderId="1" xfId="0" applyNumberFormat="1" applyFont="1" applyBorder="1"/>
    <xf numFmtId="6" fontId="18" fillId="0" borderId="1" xfId="0" applyNumberFormat="1" applyFont="1" applyFill="1" applyBorder="1" applyAlignment="1">
      <alignment horizontal="right"/>
    </xf>
    <xf numFmtId="10" fontId="18" fillId="0" borderId="1" xfId="0" applyNumberFormat="1" applyFont="1" applyFill="1" applyBorder="1" applyAlignment="1">
      <alignment horizontal="right"/>
    </xf>
    <xf numFmtId="6" fontId="31" fillId="0" borderId="0" xfId="0" applyNumberFormat="1" applyFont="1" applyFill="1"/>
    <xf numFmtId="0" fontId="19" fillId="0" borderId="15" xfId="0" applyFont="1" applyFill="1" applyBorder="1"/>
    <xf numFmtId="165" fontId="19" fillId="0" borderId="15" xfId="0" applyNumberFormat="1" applyFont="1" applyFill="1" applyBorder="1" applyAlignment="1">
      <alignment horizontal="right"/>
    </xf>
    <xf numFmtId="165" fontId="19" fillId="0" borderId="15" xfId="1" applyNumberFormat="1" applyFont="1" applyFill="1" applyBorder="1"/>
    <xf numFmtId="165" fontId="21" fillId="0" borderId="15" xfId="0" applyNumberFormat="1" applyFont="1" applyFill="1" applyBorder="1"/>
    <xf numFmtId="165" fontId="19" fillId="0" borderId="15" xfId="0" applyNumberFormat="1" applyFont="1" applyFill="1" applyBorder="1" applyAlignment="1">
      <alignment wrapText="1"/>
    </xf>
    <xf numFmtId="10" fontId="19" fillId="0" borderId="15" xfId="0" applyNumberFormat="1" applyFont="1" applyBorder="1"/>
    <xf numFmtId="165" fontId="19" fillId="0" borderId="15" xfId="2" applyNumberFormat="1" applyFont="1" applyFill="1" applyBorder="1"/>
    <xf numFmtId="164" fontId="19" fillId="0" borderId="0" xfId="0" applyNumberFormat="1" applyFont="1" applyAlignment="1">
      <alignment horizontal="right"/>
    </xf>
    <xf numFmtId="6" fontId="29" fillId="0" borderId="0" xfId="0" applyNumberFormat="1" applyFont="1" applyFill="1" applyBorder="1"/>
    <xf numFmtId="164" fontId="19" fillId="0" borderId="1" xfId="0" applyNumberFormat="1" applyFont="1" applyBorder="1" applyAlignment="1">
      <alignment horizontal="right"/>
    </xf>
    <xf numFmtId="6" fontId="19" fillId="0" borderId="1" xfId="0" applyNumberFormat="1" applyFont="1" applyBorder="1" applyAlignment="1">
      <alignment horizontal="right"/>
    </xf>
    <xf numFmtId="9" fontId="19" fillId="0" borderId="1" xfId="1" applyNumberFormat="1" applyFont="1" applyFill="1" applyBorder="1"/>
    <xf numFmtId="165" fontId="19" fillId="4" borderId="15" xfId="0" applyNumberFormat="1" applyFont="1" applyFill="1" applyBorder="1" applyAlignment="1">
      <alignment horizontal="right"/>
    </xf>
    <xf numFmtId="165" fontId="19" fillId="4" borderId="15" xfId="1" applyNumberFormat="1" applyFont="1" applyFill="1" applyBorder="1" applyAlignment="1">
      <alignment horizontal="right"/>
    </xf>
    <xf numFmtId="165" fontId="19" fillId="4" borderId="15" xfId="1" applyNumberFormat="1" applyFont="1" applyFill="1" applyBorder="1"/>
    <xf numFmtId="165" fontId="21" fillId="4" borderId="15" xfId="0" applyNumberFormat="1" applyFont="1" applyFill="1" applyBorder="1"/>
    <xf numFmtId="165" fontId="19" fillId="4" borderId="15" xfId="0" applyNumberFormat="1" applyFont="1" applyFill="1" applyBorder="1" applyAlignment="1">
      <alignment wrapText="1"/>
    </xf>
    <xf numFmtId="164" fontId="19" fillId="4" borderId="0" xfId="0" applyNumberFormat="1" applyFont="1" applyFill="1"/>
    <xf numFmtId="164" fontId="19" fillId="4" borderId="0" xfId="5" applyNumberFormat="1" applyFont="1" applyFill="1" applyBorder="1"/>
    <xf numFmtId="165" fontId="19" fillId="4" borderId="0" xfId="0" quotePrefix="1" applyNumberFormat="1" applyFont="1" applyFill="1"/>
    <xf numFmtId="6" fontId="19" fillId="0" borderId="15" xfId="0" applyNumberFormat="1" applyFont="1" applyFill="1" applyBorder="1"/>
    <xf numFmtId="165" fontId="19" fillId="0" borderId="15" xfId="0" quotePrefix="1" applyNumberFormat="1" applyFont="1" applyBorder="1"/>
    <xf numFmtId="164" fontId="18" fillId="0" borderId="1" xfId="5" applyNumberFormat="1" applyFont="1" applyBorder="1"/>
    <xf numFmtId="164" fontId="18" fillId="4" borderId="0" xfId="5" applyNumberFormat="1" applyFont="1" applyFill="1" applyBorder="1"/>
    <xf numFmtId="164" fontId="18" fillId="4" borderId="0" xfId="5" applyNumberFormat="1" applyFont="1" applyFill="1"/>
    <xf numFmtId="164" fontId="18" fillId="0" borderId="1" xfId="5" applyNumberFormat="1" applyFont="1" applyFill="1" applyBorder="1"/>
    <xf numFmtId="164" fontId="18" fillId="0" borderId="0" xfId="5" applyNumberFormat="1" applyFont="1" applyBorder="1"/>
    <xf numFmtId="0" fontId="19" fillId="0" borderId="0" xfId="0" applyFont="1" applyAlignment="1">
      <alignment horizontal="left" indent="2"/>
    </xf>
    <xf numFmtId="0" fontId="18" fillId="0" borderId="0" xfId="0" applyFont="1" applyAlignment="1"/>
    <xf numFmtId="0" fontId="18" fillId="0" borderId="0" xfId="0" applyFont="1" applyFill="1" applyBorder="1" applyAlignment="1">
      <alignment horizontal="left" vertical="top"/>
    </xf>
    <xf numFmtId="0" fontId="19" fillId="0" borderId="0" xfId="0" applyFont="1" applyFill="1" applyBorder="1" applyAlignment="1">
      <alignment horizontal="left" vertical="top"/>
    </xf>
    <xf numFmtId="0" fontId="18" fillId="0" borderId="11" xfId="0" applyFont="1" applyBorder="1"/>
    <xf numFmtId="0" fontId="18" fillId="0" borderId="12" xfId="0" applyFont="1" applyBorder="1"/>
    <xf numFmtId="165" fontId="18" fillId="0" borderId="17" xfId="0" applyNumberFormat="1" applyFont="1" applyBorder="1" applyAlignment="1"/>
    <xf numFmtId="165" fontId="18" fillId="4" borderId="17" xfId="0" applyNumberFormat="1" applyFont="1" applyFill="1" applyBorder="1" applyAlignment="1"/>
    <xf numFmtId="165" fontId="18" fillId="4" borderId="3" xfId="0" applyNumberFormat="1" applyFont="1" applyFill="1" applyBorder="1" applyAlignment="1"/>
    <xf numFmtId="165" fontId="18" fillId="0" borderId="10" xfId="0" applyNumberFormat="1" applyFont="1" applyBorder="1"/>
    <xf numFmtId="3" fontId="18" fillId="4" borderId="10" xfId="0" applyNumberFormat="1" applyFont="1" applyFill="1" applyBorder="1" applyAlignment="1"/>
    <xf numFmtId="3" fontId="18" fillId="0" borderId="10" xfId="0" applyNumberFormat="1" applyFont="1" applyFill="1" applyBorder="1" applyAlignment="1"/>
    <xf numFmtId="38" fontId="18" fillId="0" borderId="0" xfId="0" applyNumberFormat="1" applyFont="1" applyBorder="1"/>
    <xf numFmtId="0" fontId="18" fillId="0" borderId="0" xfId="0" applyFont="1" applyBorder="1" applyAlignment="1"/>
    <xf numFmtId="165" fontId="19" fillId="0" borderId="0" xfId="0" quotePrefix="1" applyNumberFormat="1" applyFont="1" applyBorder="1"/>
    <xf numFmtId="165" fontId="18" fillId="0" borderId="0" xfId="0" quotePrefix="1" applyNumberFormat="1" applyFont="1" applyBorder="1"/>
    <xf numFmtId="0" fontId="18" fillId="0" borderId="0" xfId="0" applyFont="1" applyBorder="1" applyAlignment="1">
      <alignment wrapText="1"/>
    </xf>
    <xf numFmtId="6" fontId="3" fillId="0" borderId="0" xfId="0" applyNumberFormat="1" applyFont="1"/>
    <xf numFmtId="9" fontId="3" fillId="0" borderId="0" xfId="0" applyNumberFormat="1" applyFont="1"/>
    <xf numFmtId="0" fontId="3" fillId="0" borderId="0" xfId="0" applyFont="1" applyFill="1" applyBorder="1"/>
    <xf numFmtId="0" fontId="3" fillId="0" borderId="8" xfId="0" applyFont="1" applyFill="1" applyBorder="1"/>
    <xf numFmtId="0" fontId="3" fillId="0" borderId="1" xfId="0" applyFont="1" applyBorder="1"/>
    <xf numFmtId="6" fontId="3" fillId="4" borderId="0" xfId="0" applyNumberFormat="1" applyFont="1" applyFill="1"/>
    <xf numFmtId="0" fontId="3" fillId="4" borderId="0" xfId="0" applyFont="1" applyFill="1"/>
    <xf numFmtId="9" fontId="3" fillId="4" borderId="0" xfId="0" applyNumberFormat="1" applyFont="1" applyFill="1"/>
    <xf numFmtId="9" fontId="3" fillId="0" borderId="0" xfId="5" applyFont="1"/>
    <xf numFmtId="6" fontId="3" fillId="0" borderId="0" xfId="2" applyNumberFormat="1" applyFont="1"/>
    <xf numFmtId="0" fontId="3" fillId="0" borderId="0" xfId="0" applyFont="1" applyFill="1" applyBorder="1" applyAlignment="1">
      <alignment horizontal="left"/>
    </xf>
    <xf numFmtId="164" fontId="3" fillId="0" borderId="0" xfId="0" applyNumberFormat="1" applyFont="1" applyBorder="1" applyAlignment="1">
      <alignment horizontal="right"/>
    </xf>
    <xf numFmtId="6" fontId="3" fillId="0" borderId="0" xfId="0" applyNumberFormat="1" applyFont="1" applyBorder="1"/>
    <xf numFmtId="0" fontId="3" fillId="0" borderId="1" xfId="0" applyFont="1" applyFill="1" applyBorder="1"/>
    <xf numFmtId="6" fontId="3" fillId="0" borderId="1" xfId="0" applyNumberFormat="1" applyFont="1" applyBorder="1"/>
    <xf numFmtId="9" fontId="3" fillId="0" borderId="1" xfId="5" applyFont="1" applyBorder="1"/>
    <xf numFmtId="6" fontId="3" fillId="0" borderId="1" xfId="2" applyNumberFormat="1" applyFont="1" applyBorder="1"/>
    <xf numFmtId="9" fontId="3" fillId="0" borderId="1" xfId="0" applyNumberFormat="1" applyFont="1" applyBorder="1"/>
    <xf numFmtId="6" fontId="3" fillId="4" borderId="1" xfId="0" applyNumberFormat="1" applyFont="1" applyFill="1" applyBorder="1"/>
    <xf numFmtId="9" fontId="3" fillId="4" borderId="1" xfId="5" applyFont="1" applyFill="1" applyBorder="1"/>
    <xf numFmtId="6" fontId="3" fillId="4" borderId="1" xfId="2" applyNumberFormat="1" applyFont="1" applyFill="1" applyBorder="1"/>
    <xf numFmtId="9" fontId="3" fillId="4" borderId="1" xfId="0" applyNumberFormat="1" applyFont="1" applyFill="1" applyBorder="1"/>
    <xf numFmtId="0" fontId="3" fillId="0" borderId="6" xfId="0" applyFont="1" applyFill="1" applyBorder="1"/>
    <xf numFmtId="0" fontId="3" fillId="0" borderId="0" xfId="0" applyFont="1" applyBorder="1"/>
    <xf numFmtId="164" fontId="3" fillId="0" borderId="1" xfId="0" applyNumberFormat="1" applyFont="1" applyBorder="1" applyAlignment="1">
      <alignment horizontal="right"/>
    </xf>
    <xf numFmtId="0" fontId="3" fillId="0" borderId="6" xfId="0" applyFont="1" applyBorder="1"/>
    <xf numFmtId="0" fontId="3" fillId="0" borderId="7" xfId="0" applyFont="1" applyBorder="1"/>
    <xf numFmtId="6" fontId="3" fillId="0" borderId="1" xfId="0" applyNumberFormat="1" applyFont="1" applyFill="1" applyBorder="1"/>
    <xf numFmtId="9" fontId="3" fillId="4" borderId="0" xfId="5" applyFont="1" applyFill="1"/>
    <xf numFmtId="6" fontId="3" fillId="4" borderId="0" xfId="2" applyNumberFormat="1" applyFont="1" applyFill="1"/>
    <xf numFmtId="8" fontId="3" fillId="0" borderId="0" xfId="0" applyNumberFormat="1" applyFont="1"/>
    <xf numFmtId="0" fontId="19" fillId="15" borderId="0" xfId="0" applyFont="1" applyFill="1" applyBorder="1"/>
    <xf numFmtId="0" fontId="18" fillId="15" borderId="0" xfId="0" applyFont="1" applyFill="1" applyBorder="1"/>
    <xf numFmtId="10" fontId="18" fillId="15" borderId="0" xfId="0" applyNumberFormat="1" applyFont="1" applyFill="1" applyBorder="1"/>
    <xf numFmtId="0" fontId="19" fillId="15" borderId="0" xfId="0" applyFont="1" applyFill="1" applyBorder="1" applyAlignment="1">
      <alignment horizontal="center"/>
    </xf>
    <xf numFmtId="164" fontId="19" fillId="15" borderId="0" xfId="0" applyNumberFormat="1" applyFont="1" applyFill="1" applyBorder="1" applyAlignment="1">
      <alignment horizontal="center"/>
    </xf>
    <xf numFmtId="164" fontId="18" fillId="15" borderId="0" xfId="0" applyNumberFormat="1" applyFont="1" applyFill="1" applyBorder="1"/>
    <xf numFmtId="6" fontId="18" fillId="15" borderId="0" xfId="1" applyNumberFormat="1" applyFont="1" applyFill="1" applyBorder="1" applyAlignment="1">
      <alignment horizontal="right"/>
    </xf>
    <xf numFmtId="6" fontId="18" fillId="15" borderId="0" xfId="1" applyNumberFormat="1" applyFont="1" applyFill="1" applyBorder="1"/>
    <xf numFmtId="9" fontId="18" fillId="15" borderId="0" xfId="1" applyNumberFormat="1" applyFont="1" applyFill="1" applyBorder="1"/>
    <xf numFmtId="6" fontId="18" fillId="15" borderId="0" xfId="0" applyNumberFormat="1" applyFont="1" applyFill="1"/>
    <xf numFmtId="6" fontId="18" fillId="15" borderId="0" xfId="0" applyNumberFormat="1" applyFont="1" applyFill="1" applyAlignment="1">
      <alignment wrapText="1"/>
    </xf>
    <xf numFmtId="9" fontId="18" fillId="15" borderId="0" xfId="0" applyNumberFormat="1" applyFont="1" applyFill="1" applyBorder="1"/>
    <xf numFmtId="6" fontId="18" fillId="15" borderId="0" xfId="0" applyNumberFormat="1" applyFont="1" applyFill="1" applyBorder="1"/>
    <xf numFmtId="164" fontId="18" fillId="15" borderId="0" xfId="0" applyNumberFormat="1" applyFont="1" applyFill="1"/>
    <xf numFmtId="3" fontId="18" fillId="15" borderId="0" xfId="0" applyNumberFormat="1" applyFont="1" applyFill="1"/>
    <xf numFmtId="165" fontId="18" fillId="15" borderId="0" xfId="0" applyNumberFormat="1" applyFont="1" applyFill="1"/>
    <xf numFmtId="10" fontId="18" fillId="15" borderId="0" xfId="0" applyNumberFormat="1" applyFont="1" applyFill="1"/>
    <xf numFmtId="9" fontId="18" fillId="15" borderId="0" xfId="0" applyNumberFormat="1" applyFont="1" applyFill="1"/>
    <xf numFmtId="165" fontId="18" fillId="15" borderId="0" xfId="0" applyNumberFormat="1" applyFont="1" applyFill="1" applyBorder="1"/>
    <xf numFmtId="1" fontId="18" fillId="15" borderId="0" xfId="0" applyNumberFormat="1" applyFont="1" applyFill="1"/>
    <xf numFmtId="0" fontId="19" fillId="16" borderId="35" xfId="0" applyFont="1" applyFill="1" applyBorder="1" applyAlignment="1">
      <alignment horizontal="center"/>
    </xf>
    <xf numFmtId="0" fontId="19" fillId="16" borderId="33" xfId="0" applyFont="1" applyFill="1" applyBorder="1" applyAlignment="1">
      <alignment horizontal="center"/>
    </xf>
    <xf numFmtId="165" fontId="19" fillId="15" borderId="0" xfId="0" applyNumberFormat="1" applyFont="1" applyFill="1"/>
    <xf numFmtId="0" fontId="19" fillId="17" borderId="35" xfId="0" applyFont="1" applyFill="1" applyBorder="1" applyAlignment="1">
      <alignment horizontal="center"/>
    </xf>
    <xf numFmtId="0" fontId="19" fillId="17" borderId="11" xfId="0" applyFont="1" applyFill="1" applyBorder="1" applyAlignment="1">
      <alignment horizontal="center"/>
    </xf>
    <xf numFmtId="172" fontId="18" fillId="0" borderId="0" xfId="0" applyNumberFormat="1" applyFont="1"/>
    <xf numFmtId="172" fontId="18" fillId="0" borderId="0" xfId="0" applyNumberFormat="1" applyFont="1" applyFill="1"/>
    <xf numFmtId="172" fontId="19" fillId="4" borderId="0" xfId="0" applyNumberFormat="1" applyFont="1" applyFill="1" applyBorder="1"/>
    <xf numFmtId="0" fontId="24" fillId="18" borderId="11" xfId="0" applyFont="1" applyFill="1" applyBorder="1" applyAlignment="1">
      <alignment horizontal="center"/>
    </xf>
    <xf numFmtId="0" fontId="32" fillId="0" borderId="0" xfId="0" applyFont="1" applyFill="1"/>
    <xf numFmtId="172" fontId="32" fillId="0" borderId="0" xfId="0" applyNumberFormat="1" applyFont="1" applyFill="1"/>
    <xf numFmtId="164" fontId="18" fillId="15" borderId="3" xfId="0" applyNumberFormat="1" applyFont="1" applyFill="1" applyBorder="1"/>
    <xf numFmtId="172" fontId="32" fillId="15" borderId="0" xfId="0" applyNumberFormat="1" applyFont="1" applyFill="1"/>
    <xf numFmtId="0" fontId="32" fillId="15" borderId="0" xfId="0" applyFont="1" applyFill="1"/>
    <xf numFmtId="172" fontId="33" fillId="15" borderId="0" xfId="0" applyNumberFormat="1" applyFont="1" applyFill="1"/>
    <xf numFmtId="164" fontId="18" fillId="15" borderId="28" xfId="0" applyNumberFormat="1" applyFont="1" applyFill="1" applyBorder="1"/>
    <xf numFmtId="0" fontId="18" fillId="15" borderId="0" xfId="0" applyFont="1" applyFill="1"/>
    <xf numFmtId="0" fontId="24" fillId="6" borderId="10" xfId="0" applyFont="1" applyFill="1" applyBorder="1" applyAlignment="1">
      <alignment horizontal="center"/>
    </xf>
    <xf numFmtId="0" fontId="24" fillId="5" borderId="5" xfId="0" applyFont="1" applyFill="1" applyBorder="1" applyAlignment="1">
      <alignment horizontal="center"/>
    </xf>
    <xf numFmtId="0" fontId="24" fillId="6" borderId="18" xfId="0" applyFont="1" applyFill="1" applyBorder="1" applyAlignment="1">
      <alignment horizontal="center" wrapText="1"/>
    </xf>
    <xf numFmtId="166" fontId="24" fillId="6" borderId="8" xfId="0" applyNumberFormat="1" applyFont="1" applyFill="1" applyBorder="1" applyAlignment="1">
      <alignment horizontal="center" vertical="center" wrapText="1"/>
    </xf>
    <xf numFmtId="166" fontId="24" fillId="6" borderId="2" xfId="0" applyNumberFormat="1" applyFont="1" applyFill="1" applyBorder="1" applyAlignment="1">
      <alignment horizontal="center" vertical="center" wrapText="1"/>
    </xf>
    <xf numFmtId="166" fontId="24" fillId="5" borderId="8" xfId="0" applyNumberFormat="1" applyFont="1" applyFill="1" applyBorder="1" applyAlignment="1">
      <alignment horizontal="center" vertical="center" wrapText="1"/>
    </xf>
    <xf numFmtId="0" fontId="19" fillId="16" borderId="32" xfId="0" applyFont="1" applyFill="1" applyBorder="1" applyAlignment="1">
      <alignment horizontal="center"/>
    </xf>
    <xf numFmtId="0" fontId="19" fillId="14" borderId="10" xfId="0" applyFont="1" applyFill="1" applyBorder="1" applyAlignment="1">
      <alignment horizontal="center"/>
    </xf>
    <xf numFmtId="0" fontId="19" fillId="14" borderId="5" xfId="0" applyFont="1" applyFill="1" applyBorder="1" applyAlignment="1">
      <alignment horizontal="center"/>
    </xf>
    <xf numFmtId="0" fontId="19" fillId="0" borderId="10" xfId="0" applyFont="1" applyFill="1" applyBorder="1" applyAlignment="1">
      <alignment horizontal="center"/>
    </xf>
    <xf numFmtId="0" fontId="18" fillId="0" borderId="5" xfId="0" applyFont="1" applyFill="1" applyBorder="1" applyAlignment="1"/>
    <xf numFmtId="0" fontId="19" fillId="13" borderId="10" xfId="0" applyFont="1" applyFill="1" applyBorder="1" applyAlignment="1">
      <alignment horizontal="center"/>
    </xf>
    <xf numFmtId="0" fontId="19" fillId="11" borderId="25" xfId="0" applyFont="1" applyFill="1" applyBorder="1" applyAlignment="1">
      <alignment horizontal="center"/>
    </xf>
    <xf numFmtId="6" fontId="10" fillId="3" borderId="10" xfId="0" applyNumberFormat="1" applyFont="1" applyFill="1" applyBorder="1" applyAlignment="1">
      <alignment horizontal="center"/>
    </xf>
    <xf numFmtId="172" fontId="18" fillId="0" borderId="0" xfId="0" applyNumberFormat="1" applyFont="1" applyBorder="1"/>
    <xf numFmtId="3" fontId="3" fillId="0" borderId="0" xfId="0" applyNumberFormat="1" applyFont="1" applyFill="1"/>
    <xf numFmtId="3" fontId="18" fillId="0" borderId="0" xfId="0" applyNumberFormat="1" applyFont="1" applyFill="1" applyBorder="1" applyAlignment="1">
      <alignment horizontal="right" vertical="top"/>
    </xf>
    <xf numFmtId="3" fontId="18" fillId="0" borderId="0" xfId="0" applyNumberFormat="1" applyFont="1" applyAlignment="1">
      <alignment horizontal="right" vertical="top"/>
    </xf>
    <xf numFmtId="165" fontId="18" fillId="0" borderId="32" xfId="0" applyNumberFormat="1" applyFont="1" applyBorder="1"/>
    <xf numFmtId="10" fontId="18" fillId="0" borderId="32" xfId="0" applyNumberFormat="1" applyFont="1" applyBorder="1"/>
    <xf numFmtId="0" fontId="18" fillId="0" borderId="0" xfId="7" applyFont="1" applyBorder="1"/>
    <xf numFmtId="6" fontId="18" fillId="0" borderId="0" xfId="0" applyNumberFormat="1" applyFont="1" applyFill="1" applyBorder="1" applyAlignment="1">
      <alignment horizontal="left" vertical="top"/>
    </xf>
    <xf numFmtId="164" fontId="36" fillId="0" borderId="0" xfId="0" applyNumberFormat="1" applyFont="1"/>
    <xf numFmtId="0" fontId="18" fillId="0" borderId="0" xfId="0" applyFont="1" applyAlignment="1">
      <alignment vertical="center" wrapText="1"/>
    </xf>
    <xf numFmtId="0" fontId="24" fillId="6" borderId="10" xfId="0" applyFont="1" applyFill="1" applyBorder="1" applyAlignment="1">
      <alignment horizontal="center"/>
    </xf>
    <xf numFmtId="0" fontId="24" fillId="6" borderId="5" xfId="0" applyFont="1" applyFill="1" applyBorder="1" applyAlignment="1">
      <alignment horizontal="center"/>
    </xf>
    <xf numFmtId="0" fontId="24" fillId="5" borderId="10" xfId="0" applyFont="1" applyFill="1" applyBorder="1" applyAlignment="1">
      <alignment horizontal="center"/>
    </xf>
    <xf numFmtId="0" fontId="24" fillId="5" borderId="5" xfId="0" applyFont="1" applyFill="1" applyBorder="1" applyAlignment="1">
      <alignment horizontal="center"/>
    </xf>
    <xf numFmtId="0" fontId="24" fillId="5" borderId="10" xfId="0" applyFont="1" applyFill="1" applyBorder="1" applyAlignment="1">
      <alignment horizontal="center" wrapText="1"/>
    </xf>
    <xf numFmtId="0" fontId="24" fillId="6" borderId="19" xfId="0" applyFont="1" applyFill="1" applyBorder="1" applyAlignment="1">
      <alignment horizontal="center"/>
    </xf>
    <xf numFmtId="0" fontId="24" fillId="6" borderId="18" xfId="0" applyFont="1" applyFill="1" applyBorder="1" applyAlignment="1">
      <alignment horizontal="center"/>
    </xf>
    <xf numFmtId="0" fontId="24" fillId="6" borderId="8" xfId="0" applyFont="1" applyFill="1" applyBorder="1" applyAlignment="1">
      <alignment horizontal="center" vertical="center" wrapText="1"/>
    </xf>
    <xf numFmtId="0" fontId="24" fillId="6" borderId="2" xfId="0" applyFont="1" applyFill="1" applyBorder="1" applyAlignment="1">
      <alignment horizontal="center" vertical="center" wrapText="1"/>
    </xf>
    <xf numFmtId="0" fontId="24" fillId="6" borderId="19" xfId="0" applyFont="1" applyFill="1" applyBorder="1" applyAlignment="1">
      <alignment horizontal="center" wrapText="1"/>
    </xf>
    <xf numFmtId="0" fontId="24" fillId="6" borderId="18" xfId="0" applyFont="1" applyFill="1" applyBorder="1" applyAlignment="1">
      <alignment horizontal="center" wrapText="1"/>
    </xf>
    <xf numFmtId="166" fontId="24" fillId="6" borderId="8" xfId="0" applyNumberFormat="1" applyFont="1" applyFill="1" applyBorder="1" applyAlignment="1">
      <alignment horizontal="center" vertical="center" wrapText="1"/>
    </xf>
    <xf numFmtId="166" fontId="24" fillId="6" borderId="2" xfId="0" applyNumberFormat="1" applyFont="1" applyFill="1" applyBorder="1" applyAlignment="1">
      <alignment horizontal="center" vertical="center" wrapText="1"/>
    </xf>
    <xf numFmtId="166" fontId="24" fillId="5" borderId="8" xfId="0" applyNumberFormat="1" applyFont="1" applyFill="1" applyBorder="1" applyAlignment="1">
      <alignment horizontal="center" vertical="center" wrapText="1"/>
    </xf>
    <xf numFmtId="0" fontId="23" fillId="5" borderId="2" xfId="0" applyFont="1" applyFill="1" applyBorder="1" applyAlignment="1">
      <alignment horizontal="center" vertical="center"/>
    </xf>
    <xf numFmtId="0" fontId="24" fillId="18" borderId="38" xfId="0" applyFont="1" applyFill="1" applyBorder="1" applyAlignment="1">
      <alignment horizontal="center" vertical="center" wrapText="1"/>
    </xf>
    <xf numFmtId="0" fontId="24" fillId="18" borderId="37" xfId="0" applyFont="1" applyFill="1" applyBorder="1" applyAlignment="1">
      <alignment horizontal="center" vertical="center" wrapText="1"/>
    </xf>
    <xf numFmtId="0" fontId="24" fillId="18" borderId="39" xfId="0" applyFont="1" applyFill="1" applyBorder="1" applyAlignment="1">
      <alignment horizontal="center"/>
    </xf>
    <xf numFmtId="0" fontId="24" fillId="18" borderId="12" xfId="0" applyFont="1" applyFill="1" applyBorder="1" applyAlignment="1">
      <alignment horizontal="center"/>
    </xf>
    <xf numFmtId="0" fontId="24" fillId="5" borderId="8" xfId="0" applyFont="1" applyFill="1" applyBorder="1" applyAlignment="1">
      <alignment horizontal="center" vertical="center" wrapText="1"/>
    </xf>
    <xf numFmtId="0" fontId="24" fillId="5" borderId="2" xfId="0" applyFont="1" applyFill="1" applyBorder="1" applyAlignment="1">
      <alignment horizontal="center" vertical="center" wrapText="1"/>
    </xf>
    <xf numFmtId="0" fontId="24" fillId="6" borderId="25" xfId="0" applyFont="1" applyFill="1" applyBorder="1" applyAlignment="1">
      <alignment horizontal="center"/>
    </xf>
    <xf numFmtId="0" fontId="24" fillId="6" borderId="26" xfId="0" applyFont="1" applyFill="1" applyBorder="1" applyAlignment="1">
      <alignment horizontal="center"/>
    </xf>
    <xf numFmtId="0" fontId="24" fillId="5" borderId="25" xfId="0" applyFont="1" applyFill="1" applyBorder="1" applyAlignment="1">
      <alignment horizontal="center"/>
    </xf>
    <xf numFmtId="0" fontId="24" fillId="5" borderId="26" xfId="0" applyFont="1" applyFill="1" applyBorder="1" applyAlignment="1">
      <alignment horizontal="center"/>
    </xf>
    <xf numFmtId="0" fontId="24" fillId="18" borderId="14" xfId="0" applyFont="1" applyFill="1" applyBorder="1" applyAlignment="1">
      <alignment horizontal="center" vertical="center" wrapText="1"/>
    </xf>
    <xf numFmtId="0" fontId="24" fillId="18" borderId="35" xfId="0" applyFont="1" applyFill="1" applyBorder="1" applyAlignment="1">
      <alignment horizontal="center" vertical="center" wrapText="1"/>
    </xf>
    <xf numFmtId="0" fontId="24" fillId="18" borderId="13" xfId="0" applyFont="1" applyFill="1" applyBorder="1" applyAlignment="1">
      <alignment horizontal="center"/>
    </xf>
    <xf numFmtId="0" fontId="19" fillId="16" borderId="32" xfId="0" applyFont="1" applyFill="1" applyBorder="1" applyAlignment="1">
      <alignment horizontal="center"/>
    </xf>
    <xf numFmtId="0" fontId="19" fillId="16" borderId="34" xfId="0" applyFont="1" applyFill="1" applyBorder="1" applyAlignment="1">
      <alignment horizontal="center"/>
    </xf>
    <xf numFmtId="0" fontId="19" fillId="14" borderId="10" xfId="0" applyFont="1" applyFill="1" applyBorder="1" applyAlignment="1">
      <alignment horizontal="center"/>
    </xf>
    <xf numFmtId="0" fontId="19" fillId="14" borderId="5" xfId="0" applyFont="1" applyFill="1" applyBorder="1" applyAlignment="1">
      <alignment horizontal="center"/>
    </xf>
    <xf numFmtId="0" fontId="19" fillId="0" borderId="10" xfId="0" applyFont="1" applyFill="1" applyBorder="1" applyAlignment="1">
      <alignment horizontal="center"/>
    </xf>
    <xf numFmtId="0" fontId="18" fillId="0" borderId="5" xfId="0" applyFont="1" applyFill="1" applyBorder="1" applyAlignment="1"/>
    <xf numFmtId="0" fontId="19" fillId="0" borderId="5" xfId="0" applyFont="1" applyFill="1" applyBorder="1" applyAlignment="1">
      <alignment horizontal="center"/>
    </xf>
    <xf numFmtId="6" fontId="19" fillId="0" borderId="10" xfId="0" applyNumberFormat="1" applyFont="1" applyFill="1" applyBorder="1" applyAlignment="1">
      <alignment horizontal="center"/>
    </xf>
    <xf numFmtId="6" fontId="19" fillId="0" borderId="20" xfId="0" applyNumberFormat="1" applyFont="1" applyFill="1" applyBorder="1" applyAlignment="1">
      <alignment horizontal="center"/>
    </xf>
    <xf numFmtId="0" fontId="19" fillId="17" borderId="0" xfId="0" applyFont="1" applyFill="1" applyBorder="1" applyAlignment="1">
      <alignment horizontal="center"/>
    </xf>
    <xf numFmtId="0" fontId="19" fillId="17" borderId="36" xfId="0" applyFont="1" applyFill="1" applyBorder="1" applyAlignment="1">
      <alignment horizontal="center"/>
    </xf>
    <xf numFmtId="0" fontId="19" fillId="13" borderId="10" xfId="0" applyFont="1" applyFill="1" applyBorder="1" applyAlignment="1">
      <alignment horizontal="center"/>
    </xf>
    <xf numFmtId="0" fontId="19" fillId="13" borderId="5" xfId="0" applyFont="1" applyFill="1" applyBorder="1" applyAlignment="1">
      <alignment horizontal="center"/>
    </xf>
    <xf numFmtId="6" fontId="19" fillId="13" borderId="8" xfId="0" applyNumberFormat="1" applyFont="1" applyFill="1" applyBorder="1" applyAlignment="1">
      <alignment horizontal="center" vertical="center" wrapText="1"/>
    </xf>
    <xf numFmtId="0" fontId="18" fillId="13" borderId="2" xfId="0" applyFont="1" applyFill="1" applyBorder="1" applyAlignment="1">
      <alignment horizontal="center" vertical="center"/>
    </xf>
    <xf numFmtId="0" fontId="19" fillId="11" borderId="25" xfId="0" applyFont="1" applyFill="1" applyBorder="1" applyAlignment="1">
      <alignment horizontal="center"/>
    </xf>
    <xf numFmtId="0" fontId="19" fillId="11" borderId="26" xfId="0" applyFont="1" applyFill="1" applyBorder="1" applyAlignment="1">
      <alignment horizontal="center"/>
    </xf>
    <xf numFmtId="0" fontId="19" fillId="13" borderId="25" xfId="0" applyFont="1" applyFill="1" applyBorder="1" applyAlignment="1">
      <alignment horizontal="center"/>
    </xf>
    <xf numFmtId="0" fontId="19" fillId="13" borderId="26" xfId="0" applyFont="1" applyFill="1" applyBorder="1" applyAlignment="1">
      <alignment horizontal="center"/>
    </xf>
    <xf numFmtId="6" fontId="10" fillId="3" borderId="10" xfId="0" applyNumberFormat="1" applyFont="1" applyFill="1" applyBorder="1" applyAlignment="1">
      <alignment horizontal="center"/>
    </xf>
    <xf numFmtId="6" fontId="10" fillId="3" borderId="5" xfId="0" applyNumberFormat="1" applyFont="1" applyFill="1" applyBorder="1" applyAlignment="1">
      <alignment horizontal="center"/>
    </xf>
    <xf numFmtId="0" fontId="10" fillId="2" borderId="10" xfId="0" applyFont="1" applyFill="1" applyBorder="1" applyAlignment="1">
      <alignment horizontal="center"/>
    </xf>
    <xf numFmtId="0" fontId="10" fillId="2" borderId="5" xfId="0" applyFont="1" applyFill="1" applyBorder="1" applyAlignment="1">
      <alignment horizontal="center"/>
    </xf>
  </cellXfs>
  <cellStyles count="11">
    <cellStyle name="Comma" xfId="1" builtinId="3"/>
    <cellStyle name="Comma 2" xfId="8"/>
    <cellStyle name="Currency" xfId="2" builtinId="4"/>
    <cellStyle name="Currency 2" xfId="9"/>
    <cellStyle name="Normal" xfId="0" builtinId="0"/>
    <cellStyle name="Normal 2" xfId="7"/>
    <cellStyle name="Normal 3" xfId="6"/>
    <cellStyle name="Normal_DC-Local-Budget-Revised" xfId="3"/>
    <cellStyle name="Normal_FY04 Local Budget - Revised" xfId="4"/>
    <cellStyle name="Percent" xfId="5" builtinId="5"/>
    <cellStyle name="Percent 2" xfId="10"/>
  </cellStyles>
  <dxfs count="15">
    <dxf>
      <numFmt numFmtId="164" formatCode="0.0%"/>
    </dxf>
    <dxf>
      <numFmt numFmtId="14" formatCode="0.00%"/>
    </dxf>
    <dxf>
      <numFmt numFmtId="169" formatCode="0.000%"/>
    </dxf>
    <dxf>
      <numFmt numFmtId="174" formatCode="0.0000%"/>
    </dxf>
    <dxf>
      <numFmt numFmtId="169" formatCode="0.000%"/>
    </dxf>
    <dxf>
      <numFmt numFmtId="14" formatCode="0.00%"/>
    </dxf>
    <dxf>
      <numFmt numFmtId="164" formatCode="0.0%"/>
    </dxf>
    <dxf>
      <numFmt numFmtId="14" formatCode="0.00%"/>
    </dxf>
    <dxf>
      <fill>
        <patternFill patternType="none">
          <bgColor auto="1"/>
        </patternFill>
      </fill>
    </dxf>
    <dxf>
      <fill>
        <patternFill patternType="none">
          <bgColor auto="1"/>
        </patternFill>
      </fill>
    </dxf>
    <dxf>
      <numFmt numFmtId="164" formatCode="0.0%"/>
    </dxf>
    <dxf>
      <numFmt numFmtId="14" formatCode="0.00%"/>
    </dxf>
    <dxf>
      <numFmt numFmtId="164" formatCode="0.0%"/>
    </dxf>
    <dxf>
      <numFmt numFmtId="13" formatCode="0%"/>
    </dxf>
    <dxf>
      <numFmt numFmtId="165" formatCode="&quot;$&quot;#,##0"/>
    </dxf>
  </dxfs>
  <tableStyles count="0" defaultTableStyle="TableStyleMedium9" defaultPivotStyle="PivotStyleLight16"/>
  <colors>
    <mruColors>
      <color rgb="FF00BCB8"/>
      <color rgb="FF41AAC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customXml" Target="../customXml/item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23" Type="http://schemas.openxmlformats.org/officeDocument/2006/relationships/usernames" Target="revisions/userNam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 Id="rId22" Type="http://schemas.openxmlformats.org/officeDocument/2006/relationships/revisionHeaders" Target="revisions/revisionHeaders.xml"/></Relationships>
</file>

<file path=xl/revisions/_rels/revisionHeaders.xml.rels><?xml version="1.0" encoding="UTF-8" standalone="yes"?>
<Relationships xmlns="http://schemas.openxmlformats.org/package/2006/relationships"><Relationship Id="rId13" Type="http://schemas.openxmlformats.org/officeDocument/2006/relationships/revisionLog" Target="revisionLog13.xml"/><Relationship Id="rId18" Type="http://schemas.openxmlformats.org/officeDocument/2006/relationships/revisionLog" Target="revisionLog18.xml"/><Relationship Id="rId26" Type="http://schemas.openxmlformats.org/officeDocument/2006/relationships/revisionLog" Target="revisionLog26.xml"/><Relationship Id="rId39" Type="http://schemas.openxmlformats.org/officeDocument/2006/relationships/revisionLog" Target="revisionLog39.xml"/><Relationship Id="rId3" Type="http://schemas.openxmlformats.org/officeDocument/2006/relationships/revisionLog" Target="revisionLog3.xml"/><Relationship Id="rId21" Type="http://schemas.openxmlformats.org/officeDocument/2006/relationships/revisionLog" Target="revisionLog21.xml"/><Relationship Id="rId34" Type="http://schemas.openxmlformats.org/officeDocument/2006/relationships/revisionLog" Target="revisionLog34.xml"/><Relationship Id="rId42" Type="http://schemas.openxmlformats.org/officeDocument/2006/relationships/revisionLog" Target="revisionLog42.xml"/><Relationship Id="rId47" Type="http://schemas.openxmlformats.org/officeDocument/2006/relationships/revisionLog" Target="revisionLog47.xml"/><Relationship Id="rId50" Type="http://schemas.openxmlformats.org/officeDocument/2006/relationships/revisionLog" Target="revisionLog50.xml"/><Relationship Id="rId7" Type="http://schemas.openxmlformats.org/officeDocument/2006/relationships/revisionLog" Target="revisionLog7.xml"/><Relationship Id="rId12" Type="http://schemas.openxmlformats.org/officeDocument/2006/relationships/revisionLog" Target="revisionLog12.xml"/><Relationship Id="rId17" Type="http://schemas.openxmlformats.org/officeDocument/2006/relationships/revisionLog" Target="revisionLog17.xml"/><Relationship Id="rId25" Type="http://schemas.openxmlformats.org/officeDocument/2006/relationships/revisionLog" Target="revisionLog25.xml"/><Relationship Id="rId33" Type="http://schemas.openxmlformats.org/officeDocument/2006/relationships/revisionLog" Target="revisionLog33.xml"/><Relationship Id="rId38" Type="http://schemas.openxmlformats.org/officeDocument/2006/relationships/revisionLog" Target="revisionLog38.xml"/><Relationship Id="rId46" Type="http://schemas.openxmlformats.org/officeDocument/2006/relationships/revisionLog" Target="revisionLog46.xml"/><Relationship Id="rId2" Type="http://schemas.openxmlformats.org/officeDocument/2006/relationships/revisionLog" Target="revisionLog2.xml"/><Relationship Id="rId16" Type="http://schemas.openxmlformats.org/officeDocument/2006/relationships/revisionLog" Target="revisionLog16.xml"/><Relationship Id="rId20" Type="http://schemas.openxmlformats.org/officeDocument/2006/relationships/revisionLog" Target="revisionLog20.xml"/><Relationship Id="rId29" Type="http://schemas.openxmlformats.org/officeDocument/2006/relationships/revisionLog" Target="revisionLog29.xml"/><Relationship Id="rId41" Type="http://schemas.openxmlformats.org/officeDocument/2006/relationships/revisionLog" Target="revisionLog41.xml"/><Relationship Id="rId54" Type="http://schemas.openxmlformats.org/officeDocument/2006/relationships/revisionLog" Target="revisionLog54.xml"/><Relationship Id="rId1" Type="http://schemas.openxmlformats.org/officeDocument/2006/relationships/revisionLog" Target="revisionLog1.xml"/><Relationship Id="rId6" Type="http://schemas.openxmlformats.org/officeDocument/2006/relationships/revisionLog" Target="revisionLog6.xml"/><Relationship Id="rId11" Type="http://schemas.openxmlformats.org/officeDocument/2006/relationships/revisionLog" Target="revisionLog11.xml"/><Relationship Id="rId24" Type="http://schemas.openxmlformats.org/officeDocument/2006/relationships/revisionLog" Target="revisionLog24.xml"/><Relationship Id="rId32" Type="http://schemas.openxmlformats.org/officeDocument/2006/relationships/revisionLog" Target="revisionLog32.xml"/><Relationship Id="rId37" Type="http://schemas.openxmlformats.org/officeDocument/2006/relationships/revisionLog" Target="revisionLog37.xml"/><Relationship Id="rId40" Type="http://schemas.openxmlformats.org/officeDocument/2006/relationships/revisionLog" Target="revisionLog40.xml"/><Relationship Id="rId45" Type="http://schemas.openxmlformats.org/officeDocument/2006/relationships/revisionLog" Target="revisionLog45.xml"/><Relationship Id="rId53" Type="http://schemas.openxmlformats.org/officeDocument/2006/relationships/revisionLog" Target="revisionLog53.xml"/><Relationship Id="rId5" Type="http://schemas.openxmlformats.org/officeDocument/2006/relationships/revisionLog" Target="revisionLog5.xml"/><Relationship Id="rId15" Type="http://schemas.openxmlformats.org/officeDocument/2006/relationships/revisionLog" Target="revisionLog15.xml"/><Relationship Id="rId23" Type="http://schemas.openxmlformats.org/officeDocument/2006/relationships/revisionLog" Target="revisionLog23.xml"/><Relationship Id="rId28" Type="http://schemas.openxmlformats.org/officeDocument/2006/relationships/revisionLog" Target="revisionLog28.xml"/><Relationship Id="rId36" Type="http://schemas.openxmlformats.org/officeDocument/2006/relationships/revisionLog" Target="revisionLog36.xml"/><Relationship Id="rId49" Type="http://schemas.openxmlformats.org/officeDocument/2006/relationships/revisionLog" Target="revisionLog49.xml"/><Relationship Id="rId10" Type="http://schemas.openxmlformats.org/officeDocument/2006/relationships/revisionLog" Target="revisionLog10.xml"/><Relationship Id="rId19" Type="http://schemas.openxmlformats.org/officeDocument/2006/relationships/revisionLog" Target="revisionLog19.xml"/><Relationship Id="rId31" Type="http://schemas.openxmlformats.org/officeDocument/2006/relationships/revisionLog" Target="revisionLog31.xml"/><Relationship Id="rId44" Type="http://schemas.openxmlformats.org/officeDocument/2006/relationships/revisionLog" Target="revisionLog44.xml"/><Relationship Id="rId52" Type="http://schemas.openxmlformats.org/officeDocument/2006/relationships/revisionLog" Target="revisionLog52.xml"/><Relationship Id="rId4" Type="http://schemas.openxmlformats.org/officeDocument/2006/relationships/revisionLog" Target="revisionLog4.xml"/><Relationship Id="rId9" Type="http://schemas.openxmlformats.org/officeDocument/2006/relationships/revisionLog" Target="revisionLog9.xml"/><Relationship Id="rId14" Type="http://schemas.openxmlformats.org/officeDocument/2006/relationships/revisionLog" Target="revisionLog14.xml"/><Relationship Id="rId22" Type="http://schemas.openxmlformats.org/officeDocument/2006/relationships/revisionLog" Target="revisionLog22.xml"/><Relationship Id="rId27" Type="http://schemas.openxmlformats.org/officeDocument/2006/relationships/revisionLog" Target="revisionLog27.xml"/><Relationship Id="rId30" Type="http://schemas.openxmlformats.org/officeDocument/2006/relationships/revisionLog" Target="revisionLog30.xml"/><Relationship Id="rId35" Type="http://schemas.openxmlformats.org/officeDocument/2006/relationships/revisionLog" Target="revisionLog35.xml"/><Relationship Id="rId43" Type="http://schemas.openxmlformats.org/officeDocument/2006/relationships/revisionLog" Target="revisionLog43.xml"/><Relationship Id="rId48" Type="http://schemas.openxmlformats.org/officeDocument/2006/relationships/revisionLog" Target="revisionLog48.xml"/><Relationship Id="rId8" Type="http://schemas.openxmlformats.org/officeDocument/2006/relationships/revisionLog" Target="revisionLog8.xml"/><Relationship Id="rId51" Type="http://schemas.openxmlformats.org/officeDocument/2006/relationships/revisionLog" Target="revisionLog51.xml"/></Relationships>
</file>

<file path=xl/revisions/revisionHeaders.xml><?xml version="1.0" encoding="utf-8"?>
<headers xmlns="http://schemas.openxmlformats.org/spreadsheetml/2006/main" xmlns:r="http://schemas.openxmlformats.org/officeDocument/2006/relationships" xmlns:mc="http://schemas.openxmlformats.org/markup-compatibility/2006" xmlns:x14ac="http://schemas.microsoft.com/office/spreadsheetml/2009/9/ac" mc:Ignorable="x14ac" guid="{C8CBADA4-7C0E-4842-B335-977817BD06D0}" diskRevisions="1" revisionId="1023" version="48">
  <header guid="{0D289632-5C00-4E53-994D-2ED761FC681C}" dateTime="2015-03-31T09:50:09" maxSheetId="14" userName="Merrit Gillard" r:id="rId1">
    <sheetIdMap count="13">
      <sheetId val="1"/>
      <sheetId val="2"/>
      <sheetId val="3"/>
      <sheetId val="4"/>
      <sheetId val="5"/>
      <sheetId val="6"/>
      <sheetId val="7"/>
      <sheetId val="8"/>
      <sheetId val="9"/>
      <sheetId val="10"/>
      <sheetId val="11"/>
      <sheetId val="12"/>
      <sheetId val="13"/>
    </sheetIdMap>
  </header>
  <header guid="{61CF0EC9-79B4-4A59-90AA-A7973A9C7586}" dateTime="2015-03-31T09:56:47" maxSheetId="14" userName="Ed Lazere" r:id="rId2">
    <sheetIdMap count="13">
      <sheetId val="1"/>
      <sheetId val="2"/>
      <sheetId val="3"/>
      <sheetId val="4"/>
      <sheetId val="5"/>
      <sheetId val="6"/>
      <sheetId val="7"/>
      <sheetId val="8"/>
      <sheetId val="9"/>
      <sheetId val="10"/>
      <sheetId val="11"/>
      <sheetId val="12"/>
      <sheetId val="13"/>
    </sheetIdMap>
  </header>
  <header guid="{65D7FC54-6CAE-4188-8CF9-3393AFB4E999}" dateTime="2015-03-31T09:57:33" maxSheetId="14" userName="Merrit Gillard" r:id="rId3" minRId="1">
    <sheetIdMap count="13">
      <sheetId val="1"/>
      <sheetId val="2"/>
      <sheetId val="3"/>
      <sheetId val="4"/>
      <sheetId val="5"/>
      <sheetId val="6"/>
      <sheetId val="7"/>
      <sheetId val="8"/>
      <sheetId val="9"/>
      <sheetId val="10"/>
      <sheetId val="11"/>
      <sheetId val="12"/>
      <sheetId val="13"/>
    </sheetIdMap>
  </header>
  <header guid="{1379FC20-DF56-4DA5-9FF9-11AE22E795A2}" dateTime="2015-03-31T09:57:47" maxSheetId="14" userName="Ed Lazere" r:id="rId4" minRId="6">
    <sheetIdMap count="13">
      <sheetId val="1"/>
      <sheetId val="2"/>
      <sheetId val="3"/>
      <sheetId val="4"/>
      <sheetId val="5"/>
      <sheetId val="6"/>
      <sheetId val="7"/>
      <sheetId val="8"/>
      <sheetId val="9"/>
      <sheetId val="10"/>
      <sheetId val="11"/>
      <sheetId val="12"/>
      <sheetId val="13"/>
    </sheetIdMap>
  </header>
  <header guid="{ED89FFFD-6479-4D0C-B0FB-F890749FDDF1}" dateTime="2015-03-31T09:58:41" maxSheetId="14" userName="Merrit Gillard" r:id="rId5" minRId="7">
    <sheetIdMap count="13">
      <sheetId val="1"/>
      <sheetId val="2"/>
      <sheetId val="3"/>
      <sheetId val="4"/>
      <sheetId val="5"/>
      <sheetId val="6"/>
      <sheetId val="7"/>
      <sheetId val="8"/>
      <sheetId val="9"/>
      <sheetId val="10"/>
      <sheetId val="11"/>
      <sheetId val="12"/>
      <sheetId val="13"/>
    </sheetIdMap>
  </header>
  <header guid="{C52B3FDB-2BF2-49BE-9F54-B6AC3635A151}" dateTime="2015-03-31T09:58:52" maxSheetId="14" userName="Ed Lazere" r:id="rId6" minRId="12">
    <sheetIdMap count="13">
      <sheetId val="1"/>
      <sheetId val="2"/>
      <sheetId val="3"/>
      <sheetId val="4"/>
      <sheetId val="5"/>
      <sheetId val="6"/>
      <sheetId val="7"/>
      <sheetId val="8"/>
      <sheetId val="9"/>
      <sheetId val="10"/>
      <sheetId val="11"/>
      <sheetId val="12"/>
      <sheetId val="13"/>
    </sheetIdMap>
  </header>
  <header guid="{D7C3C1A4-54F4-4D97-AF72-8B3DB6A49AAC}" dateTime="2015-03-31T09:59:23" maxSheetId="14" userName="Merrit Gillard" r:id="rId7" minRId="13" maxRId="16">
    <sheetIdMap count="13">
      <sheetId val="1"/>
      <sheetId val="2"/>
      <sheetId val="3"/>
      <sheetId val="4"/>
      <sheetId val="5"/>
      <sheetId val="6"/>
      <sheetId val="7"/>
      <sheetId val="8"/>
      <sheetId val="9"/>
      <sheetId val="10"/>
      <sheetId val="11"/>
      <sheetId val="12"/>
      <sheetId val="13"/>
    </sheetIdMap>
  </header>
  <header guid="{1BB75098-BC61-46EC-94AD-EC33ACD9E656}" dateTime="2015-03-31T19:08:47" maxSheetId="14" userName="Ed Lazere" r:id="rId8" minRId="17" maxRId="26">
    <sheetIdMap count="13">
      <sheetId val="1"/>
      <sheetId val="2"/>
      <sheetId val="3"/>
      <sheetId val="4"/>
      <sheetId val="5"/>
      <sheetId val="6"/>
      <sheetId val="7"/>
      <sheetId val="8"/>
      <sheetId val="9"/>
      <sheetId val="10"/>
      <sheetId val="11"/>
      <sheetId val="12"/>
      <sheetId val="13"/>
    </sheetIdMap>
  </header>
  <header guid="{C5DA0AE3-B2E5-4E29-9490-0BC433FC3D9E}" dateTime="2015-04-02T14:33:10" maxSheetId="14" userName="bhat" r:id="rId9" minRId="27" maxRId="32">
    <sheetIdMap count="13">
      <sheetId val="1"/>
      <sheetId val="2"/>
      <sheetId val="3"/>
      <sheetId val="4"/>
      <sheetId val="5"/>
      <sheetId val="6"/>
      <sheetId val="7"/>
      <sheetId val="8"/>
      <sheetId val="9"/>
      <sheetId val="10"/>
      <sheetId val="11"/>
      <sheetId val="12"/>
      <sheetId val="13"/>
    </sheetIdMap>
  </header>
  <header guid="{251AE161-D6C5-4C38-907E-A9CB9595F875}" dateTime="2015-04-02T14:37:47" maxSheetId="14" userName="bhat" r:id="rId10" minRId="33" maxRId="36">
    <sheetIdMap count="13">
      <sheetId val="1"/>
      <sheetId val="2"/>
      <sheetId val="3"/>
      <sheetId val="4"/>
      <sheetId val="5"/>
      <sheetId val="6"/>
      <sheetId val="7"/>
      <sheetId val="8"/>
      <sheetId val="9"/>
      <sheetId val="10"/>
      <sheetId val="11"/>
      <sheetId val="12"/>
      <sheetId val="13"/>
    </sheetIdMap>
  </header>
  <header guid="{98ED4128-927D-42F3-A0E9-DF681E52F465}" dateTime="2015-04-02T14:44:10" maxSheetId="14" userName="Ed Lazere" r:id="rId11" minRId="37" maxRId="52">
    <sheetIdMap count="13">
      <sheetId val="1"/>
      <sheetId val="2"/>
      <sheetId val="3"/>
      <sheetId val="4"/>
      <sheetId val="5"/>
      <sheetId val="6"/>
      <sheetId val="7"/>
      <sheetId val="8"/>
      <sheetId val="9"/>
      <sheetId val="10"/>
      <sheetId val="11"/>
      <sheetId val="12"/>
      <sheetId val="13"/>
    </sheetIdMap>
  </header>
  <header guid="{6D1343AB-E770-47AB-8E17-DDCDC180F06C}" dateTime="2015-04-02T14:48:22" maxSheetId="14" userName="bhat" r:id="rId12" minRId="53" maxRId="59">
    <sheetIdMap count="13">
      <sheetId val="1"/>
      <sheetId val="2"/>
      <sheetId val="3"/>
      <sheetId val="4"/>
      <sheetId val="5"/>
      <sheetId val="6"/>
      <sheetId val="7"/>
      <sheetId val="8"/>
      <sheetId val="9"/>
      <sheetId val="10"/>
      <sheetId val="11"/>
      <sheetId val="12"/>
      <sheetId val="13"/>
    </sheetIdMap>
  </header>
  <header guid="{D0126E8C-FC6D-49B5-B09B-EE9595A56285}" dateTime="2015-04-02T14:48:59" maxSheetId="14" userName="Ed Lazere" r:id="rId13" minRId="60" maxRId="74">
    <sheetIdMap count="13">
      <sheetId val="1"/>
      <sheetId val="2"/>
      <sheetId val="3"/>
      <sheetId val="4"/>
      <sheetId val="5"/>
      <sheetId val="6"/>
      <sheetId val="7"/>
      <sheetId val="8"/>
      <sheetId val="9"/>
      <sheetId val="10"/>
      <sheetId val="11"/>
      <sheetId val="12"/>
      <sheetId val="13"/>
    </sheetIdMap>
  </header>
  <header guid="{B6BD60C4-7D72-44F6-8627-371BE4DE845F}" dateTime="2015-04-02T14:57:19" maxSheetId="14" userName="Ed Lazere" r:id="rId14" minRId="75" maxRId="182">
    <sheetIdMap count="13">
      <sheetId val="1"/>
      <sheetId val="2"/>
      <sheetId val="3"/>
      <sheetId val="4"/>
      <sheetId val="5"/>
      <sheetId val="6"/>
      <sheetId val="7"/>
      <sheetId val="8"/>
      <sheetId val="9"/>
      <sheetId val="10"/>
      <sheetId val="11"/>
      <sheetId val="12"/>
      <sheetId val="13"/>
    </sheetIdMap>
  </header>
  <header guid="{281D2631-DD55-488C-87EC-F61C93BEBF56}" dateTime="2015-04-02T14:57:50" maxSheetId="14" userName="bhat" r:id="rId15" minRId="183" maxRId="191">
    <sheetIdMap count="13">
      <sheetId val="1"/>
      <sheetId val="2"/>
      <sheetId val="3"/>
      <sheetId val="4"/>
      <sheetId val="5"/>
      <sheetId val="6"/>
      <sheetId val="7"/>
      <sheetId val="8"/>
      <sheetId val="9"/>
      <sheetId val="10"/>
      <sheetId val="11"/>
      <sheetId val="12"/>
      <sheetId val="13"/>
    </sheetIdMap>
  </header>
  <header guid="{06DCAAA2-8F9B-473A-94D7-60D1CC0E39F3}" dateTime="2015-04-02T15:00:52" maxSheetId="14" userName="Ed Lazere" r:id="rId16" minRId="192" maxRId="193">
    <sheetIdMap count="13">
      <sheetId val="1"/>
      <sheetId val="2"/>
      <sheetId val="3"/>
      <sheetId val="4"/>
      <sheetId val="5"/>
      <sheetId val="6"/>
      <sheetId val="7"/>
      <sheetId val="8"/>
      <sheetId val="9"/>
      <sheetId val="10"/>
      <sheetId val="11"/>
      <sheetId val="12"/>
      <sheetId val="13"/>
    </sheetIdMap>
  </header>
  <header guid="{0DE97F22-6D95-45C1-8A4C-C89A82CEC727}" dateTime="2015-04-02T15:12:31" maxSheetId="14" userName="bhat" r:id="rId17" minRId="194" maxRId="214">
    <sheetIdMap count="13">
      <sheetId val="1"/>
      <sheetId val="2"/>
      <sheetId val="3"/>
      <sheetId val="4"/>
      <sheetId val="5"/>
      <sheetId val="6"/>
      <sheetId val="7"/>
      <sheetId val="8"/>
      <sheetId val="9"/>
      <sheetId val="10"/>
      <sheetId val="11"/>
      <sheetId val="12"/>
      <sheetId val="13"/>
    </sheetIdMap>
  </header>
  <header guid="{472E6F5D-A08B-4265-A033-8036E3DF17C2}" dateTime="2015-04-02T15:18:53" maxSheetId="14" userName="Ed Lazere" r:id="rId18" minRId="215" maxRId="216">
    <sheetIdMap count="13">
      <sheetId val="1"/>
      <sheetId val="2"/>
      <sheetId val="3"/>
      <sheetId val="4"/>
      <sheetId val="5"/>
      <sheetId val="6"/>
      <sheetId val="7"/>
      <sheetId val="8"/>
      <sheetId val="9"/>
      <sheetId val="10"/>
      <sheetId val="11"/>
      <sheetId val="12"/>
      <sheetId val="13"/>
    </sheetIdMap>
  </header>
  <header guid="{FBF2C4A4-ED8C-4F0A-8CCC-11BF6FC87C75}" dateTime="2015-04-02T15:33:39" maxSheetId="14" userName="bhat" r:id="rId19" minRId="217" maxRId="234">
    <sheetIdMap count="13">
      <sheetId val="1"/>
      <sheetId val="2"/>
      <sheetId val="3"/>
      <sheetId val="4"/>
      <sheetId val="5"/>
      <sheetId val="6"/>
      <sheetId val="7"/>
      <sheetId val="8"/>
      <sheetId val="9"/>
      <sheetId val="10"/>
      <sheetId val="11"/>
      <sheetId val="12"/>
      <sheetId val="13"/>
    </sheetIdMap>
  </header>
  <header guid="{CCEE4367-C4B4-47CE-A485-07708E8327C9}" dateTime="2015-04-02T15:39:53" maxSheetId="14" userName="Wes Rivers" r:id="rId20" minRId="235" maxRId="384">
    <sheetIdMap count="13">
      <sheetId val="1"/>
      <sheetId val="2"/>
      <sheetId val="3"/>
      <sheetId val="4"/>
      <sheetId val="5"/>
      <sheetId val="6"/>
      <sheetId val="7"/>
      <sheetId val="8"/>
      <sheetId val="9"/>
      <sheetId val="10"/>
      <sheetId val="11"/>
      <sheetId val="12"/>
      <sheetId val="13"/>
    </sheetIdMap>
  </header>
  <header guid="{C7CFA720-3951-4B15-9461-E7F122CCC91A}" dateTime="2015-04-02T15:52:00" maxSheetId="14" userName="bhat" r:id="rId21" minRId="385" maxRId="397">
    <sheetIdMap count="13">
      <sheetId val="1"/>
      <sheetId val="2"/>
      <sheetId val="3"/>
      <sheetId val="4"/>
      <sheetId val="5"/>
      <sheetId val="6"/>
      <sheetId val="7"/>
      <sheetId val="8"/>
      <sheetId val="9"/>
      <sheetId val="10"/>
      <sheetId val="11"/>
      <sheetId val="12"/>
      <sheetId val="13"/>
    </sheetIdMap>
  </header>
  <header guid="{DA994844-65F9-4117-9DD6-E6A99ECEBFA2}" dateTime="2015-04-02T15:54:44" maxSheetId="14" userName="bhat" r:id="rId22" minRId="398" maxRId="402">
    <sheetIdMap count="13">
      <sheetId val="1"/>
      <sheetId val="2"/>
      <sheetId val="3"/>
      <sheetId val="4"/>
      <sheetId val="5"/>
      <sheetId val="6"/>
      <sheetId val="7"/>
      <sheetId val="8"/>
      <sheetId val="9"/>
      <sheetId val="10"/>
      <sheetId val="11"/>
      <sheetId val="12"/>
      <sheetId val="13"/>
    </sheetIdMap>
  </header>
  <header guid="{4795FE47-6CCD-4BAA-A420-7B405942ADF6}" dateTime="2015-04-02T15:58:46" maxSheetId="14" userName="bhat" r:id="rId23" minRId="403" maxRId="404">
    <sheetIdMap count="13">
      <sheetId val="1"/>
      <sheetId val="2"/>
      <sheetId val="3"/>
      <sheetId val="4"/>
      <sheetId val="5"/>
      <sheetId val="6"/>
      <sheetId val="7"/>
      <sheetId val="8"/>
      <sheetId val="9"/>
      <sheetId val="10"/>
      <sheetId val="11"/>
      <sheetId val="12"/>
      <sheetId val="13"/>
    </sheetIdMap>
  </header>
  <header guid="{981F3E26-F8BA-45E4-9C51-DA9BE593E575}" dateTime="2015-04-02T15:59:18" maxSheetId="14" userName="bhat" r:id="rId24">
    <sheetIdMap count="13">
      <sheetId val="1"/>
      <sheetId val="2"/>
      <sheetId val="3"/>
      <sheetId val="4"/>
      <sheetId val="5"/>
      <sheetId val="6"/>
      <sheetId val="7"/>
      <sheetId val="8"/>
      <sheetId val="9"/>
      <sheetId val="10"/>
      <sheetId val="11"/>
      <sheetId val="12"/>
      <sheetId val="13"/>
    </sheetIdMap>
  </header>
  <header guid="{BD9E1BDB-42E9-4F6F-B058-777572EED711}" dateTime="2015-04-02T15:59:35" maxSheetId="14" userName="bhat" r:id="rId25" minRId="405">
    <sheetIdMap count="13">
      <sheetId val="1"/>
      <sheetId val="2"/>
      <sheetId val="3"/>
      <sheetId val="4"/>
      <sheetId val="5"/>
      <sheetId val="6"/>
      <sheetId val="7"/>
      <sheetId val="8"/>
      <sheetId val="9"/>
      <sheetId val="10"/>
      <sheetId val="11"/>
      <sheetId val="12"/>
      <sheetId val="13"/>
    </sheetIdMap>
  </header>
  <header guid="{1746D9BF-1A27-4921-8103-FEB25C246C73}" dateTime="2015-04-02T16:01:03" maxSheetId="14" userName="Ed Lazere" r:id="rId26" minRId="406" maxRId="480">
    <sheetIdMap count="13">
      <sheetId val="1"/>
      <sheetId val="2"/>
      <sheetId val="3"/>
      <sheetId val="4"/>
      <sheetId val="5"/>
      <sheetId val="6"/>
      <sheetId val="7"/>
      <sheetId val="8"/>
      <sheetId val="9"/>
      <sheetId val="10"/>
      <sheetId val="11"/>
      <sheetId val="12"/>
      <sheetId val="13"/>
    </sheetIdMap>
  </header>
  <header guid="{B676FA8C-FDDD-4CDD-A3A7-7A6AA6D72754}" dateTime="2015-04-02T16:01:14" maxSheetId="14" userName="bhat" r:id="rId27">
    <sheetIdMap count="13">
      <sheetId val="1"/>
      <sheetId val="2"/>
      <sheetId val="3"/>
      <sheetId val="4"/>
      <sheetId val="5"/>
      <sheetId val="6"/>
      <sheetId val="7"/>
      <sheetId val="8"/>
      <sheetId val="9"/>
      <sheetId val="10"/>
      <sheetId val="11"/>
      <sheetId val="12"/>
      <sheetId val="13"/>
    </sheetIdMap>
  </header>
  <header guid="{0BEE32DB-B671-4586-804E-3B496D153CD9}" dateTime="2015-04-02T16:01:25" maxSheetId="14" userName="Wes Rivers" r:id="rId28" minRId="481" maxRId="545">
    <sheetIdMap count="13">
      <sheetId val="1"/>
      <sheetId val="2"/>
      <sheetId val="3"/>
      <sheetId val="4"/>
      <sheetId val="5"/>
      <sheetId val="6"/>
      <sheetId val="7"/>
      <sheetId val="8"/>
      <sheetId val="9"/>
      <sheetId val="10"/>
      <sheetId val="11"/>
      <sheetId val="12"/>
      <sheetId val="13"/>
    </sheetIdMap>
  </header>
  <header guid="{CC7EB423-FAE0-4330-B0F6-4AD990014C68}" dateTime="2015-04-02T17:41:38" maxSheetId="14" userName="bhat" r:id="rId29" minRId="546" maxRId="583">
    <sheetIdMap count="13">
      <sheetId val="1"/>
      <sheetId val="2"/>
      <sheetId val="3"/>
      <sheetId val="4"/>
      <sheetId val="5"/>
      <sheetId val="6"/>
      <sheetId val="7"/>
      <sheetId val="8"/>
      <sheetId val="9"/>
      <sheetId val="10"/>
      <sheetId val="11"/>
      <sheetId val="12"/>
      <sheetId val="13"/>
    </sheetIdMap>
  </header>
  <header guid="{06A2B738-13CC-4813-A53D-72E0F486A6A8}" dateTime="2015-04-02T17:47:55" maxSheetId="14" userName="Ed Lazere" r:id="rId30">
    <sheetIdMap count="13">
      <sheetId val="1"/>
      <sheetId val="2"/>
      <sheetId val="3"/>
      <sheetId val="4"/>
      <sheetId val="5"/>
      <sheetId val="6"/>
      <sheetId val="7"/>
      <sheetId val="8"/>
      <sheetId val="9"/>
      <sheetId val="10"/>
      <sheetId val="11"/>
      <sheetId val="12"/>
      <sheetId val="13"/>
    </sheetIdMap>
  </header>
  <header guid="{7A655311-88AE-4A25-A4EA-1483866E933E}" dateTime="2015-04-02T18:01:30" maxSheetId="14" userName="Wes Rivers" r:id="rId31" minRId="584" maxRId="636">
    <sheetIdMap count="13">
      <sheetId val="1"/>
      <sheetId val="2"/>
      <sheetId val="3"/>
      <sheetId val="4"/>
      <sheetId val="5"/>
      <sheetId val="6"/>
      <sheetId val="7"/>
      <sheetId val="8"/>
      <sheetId val="9"/>
      <sheetId val="10"/>
      <sheetId val="11"/>
      <sheetId val="12"/>
      <sheetId val="13"/>
    </sheetIdMap>
  </header>
  <header guid="{3EBC7D55-AFB4-4C38-B1F2-05CCA12B8717}" dateTime="2015-04-02T18:01:53" maxSheetId="14" userName="bhat" r:id="rId32" minRId="637" maxRId="661">
    <sheetIdMap count="13">
      <sheetId val="1"/>
      <sheetId val="2"/>
      <sheetId val="3"/>
      <sheetId val="4"/>
      <sheetId val="5"/>
      <sheetId val="6"/>
      <sheetId val="7"/>
      <sheetId val="8"/>
      <sheetId val="9"/>
      <sheetId val="10"/>
      <sheetId val="11"/>
      <sheetId val="12"/>
      <sheetId val="13"/>
    </sheetIdMap>
  </header>
  <header guid="{BA9380AB-BE2E-4933-BD95-424700DFA675}" dateTime="2015-04-02T18:04:06" maxSheetId="14" userName="bhat" r:id="rId33" minRId="662" maxRId="676">
    <sheetIdMap count="13">
      <sheetId val="1"/>
      <sheetId val="2"/>
      <sheetId val="3"/>
      <sheetId val="4"/>
      <sheetId val="5"/>
      <sheetId val="6"/>
      <sheetId val="7"/>
      <sheetId val="8"/>
      <sheetId val="9"/>
      <sheetId val="10"/>
      <sheetId val="11"/>
      <sheetId val="12"/>
      <sheetId val="13"/>
    </sheetIdMap>
  </header>
  <header guid="{7CDA1C4E-EB76-4389-AE7D-621C388B825D}" dateTime="2015-04-02T18:07:07" maxSheetId="14" userName="bhat" r:id="rId34" minRId="677" maxRId="679">
    <sheetIdMap count="13">
      <sheetId val="1"/>
      <sheetId val="2"/>
      <sheetId val="3"/>
      <sheetId val="4"/>
      <sheetId val="5"/>
      <sheetId val="6"/>
      <sheetId val="7"/>
      <sheetId val="8"/>
      <sheetId val="9"/>
      <sheetId val="10"/>
      <sheetId val="11"/>
      <sheetId val="12"/>
      <sheetId val="13"/>
    </sheetIdMap>
  </header>
  <header guid="{38740D60-C7B1-4527-8E97-EE5BB1BD72B7}" dateTime="2015-04-02T18:07:57" maxSheetId="14" userName="Wes Rivers" r:id="rId35" minRId="680" maxRId="707">
    <sheetIdMap count="13">
      <sheetId val="1"/>
      <sheetId val="2"/>
      <sheetId val="3"/>
      <sheetId val="4"/>
      <sheetId val="5"/>
      <sheetId val="6"/>
      <sheetId val="7"/>
      <sheetId val="8"/>
      <sheetId val="9"/>
      <sheetId val="10"/>
      <sheetId val="11"/>
      <sheetId val="12"/>
      <sheetId val="13"/>
    </sheetIdMap>
  </header>
  <header guid="{AC242ECA-A409-4D42-8653-68BC976D9234}" dateTime="2015-04-02T18:08:38" maxSheetId="14" userName="bhat" r:id="rId36" minRId="708" maxRId="710">
    <sheetIdMap count="13">
      <sheetId val="1"/>
      <sheetId val="2"/>
      <sheetId val="3"/>
      <sheetId val="4"/>
      <sheetId val="5"/>
      <sheetId val="6"/>
      <sheetId val="7"/>
      <sheetId val="8"/>
      <sheetId val="9"/>
      <sheetId val="10"/>
      <sheetId val="11"/>
      <sheetId val="12"/>
      <sheetId val="13"/>
    </sheetIdMap>
  </header>
  <header guid="{09DE9E99-92DE-471B-A25B-8F688E9115AD}" dateTime="2015-04-02T18:09:11" maxSheetId="14" userName="bhat" r:id="rId37" minRId="711" maxRId="712">
    <sheetIdMap count="13">
      <sheetId val="1"/>
      <sheetId val="2"/>
      <sheetId val="3"/>
      <sheetId val="4"/>
      <sheetId val="5"/>
      <sheetId val="6"/>
      <sheetId val="7"/>
      <sheetId val="8"/>
      <sheetId val="9"/>
      <sheetId val="10"/>
      <sheetId val="11"/>
      <sheetId val="12"/>
      <sheetId val="13"/>
    </sheetIdMap>
  </header>
  <header guid="{1F8CA90F-81BA-4B06-AC8E-DFC301C93684}" dateTime="2015-04-02T18:11:27" maxSheetId="14" userName="bhat" r:id="rId38" minRId="713">
    <sheetIdMap count="13">
      <sheetId val="1"/>
      <sheetId val="2"/>
      <sheetId val="3"/>
      <sheetId val="4"/>
      <sheetId val="5"/>
      <sheetId val="6"/>
      <sheetId val="7"/>
      <sheetId val="8"/>
      <sheetId val="9"/>
      <sheetId val="10"/>
      <sheetId val="11"/>
      <sheetId val="12"/>
      <sheetId val="13"/>
    </sheetIdMap>
  </header>
  <header guid="{F5B6AED2-CD1E-448C-AEF1-2BC7266EF79F}" dateTime="2015-04-02T18:11:32" maxSheetId="14" userName="Kate Coventry" r:id="rId39" minRId="714" maxRId="756">
    <sheetIdMap count="13">
      <sheetId val="1"/>
      <sheetId val="2"/>
      <sheetId val="3"/>
      <sheetId val="4"/>
      <sheetId val="5"/>
      <sheetId val="6"/>
      <sheetId val="7"/>
      <sheetId val="8"/>
      <sheetId val="9"/>
      <sheetId val="10"/>
      <sheetId val="11"/>
      <sheetId val="12"/>
      <sheetId val="13"/>
    </sheetIdMap>
  </header>
  <header guid="{D5DEF2B9-3128-4266-8B96-3BD0D397F7F5}" dateTime="2015-04-02T18:12:04" maxSheetId="14" userName="bhat" r:id="rId40">
    <sheetIdMap count="13">
      <sheetId val="1"/>
      <sheetId val="2"/>
      <sheetId val="3"/>
      <sheetId val="4"/>
      <sheetId val="5"/>
      <sheetId val="6"/>
      <sheetId val="7"/>
      <sheetId val="8"/>
      <sheetId val="9"/>
      <sheetId val="10"/>
      <sheetId val="11"/>
      <sheetId val="12"/>
      <sheetId val="13"/>
    </sheetIdMap>
  </header>
  <header guid="{F5E73777-2703-45C4-A64B-BC1C3D84FF65}" dateTime="2015-04-02T18:16:18" maxSheetId="14" userName="bhat" r:id="rId41">
    <sheetIdMap count="13">
      <sheetId val="1"/>
      <sheetId val="2"/>
      <sheetId val="3"/>
      <sheetId val="4"/>
      <sheetId val="5"/>
      <sheetId val="6"/>
      <sheetId val="7"/>
      <sheetId val="8"/>
      <sheetId val="9"/>
      <sheetId val="10"/>
      <sheetId val="11"/>
      <sheetId val="12"/>
      <sheetId val="13"/>
    </sheetIdMap>
  </header>
  <header guid="{31787B1B-36A5-44F1-B32F-2BD14E1964C4}" dateTime="2015-04-02T18:18:33" maxSheetId="14" userName="Wes Rivers" r:id="rId42" minRId="757" maxRId="768">
    <sheetIdMap count="13">
      <sheetId val="1"/>
      <sheetId val="2"/>
      <sheetId val="3"/>
      <sheetId val="4"/>
      <sheetId val="5"/>
      <sheetId val="6"/>
      <sheetId val="7"/>
      <sheetId val="8"/>
      <sheetId val="9"/>
      <sheetId val="10"/>
      <sheetId val="11"/>
      <sheetId val="12"/>
      <sheetId val="13"/>
    </sheetIdMap>
  </header>
  <header guid="{595D45E0-ED94-406B-A809-A7A0A5BB25D8}" dateTime="2015-04-02T18:25:47" maxSheetId="14" userName="Kate Coventry" r:id="rId43" minRId="769" maxRId="792">
    <sheetIdMap count="13">
      <sheetId val="1"/>
      <sheetId val="2"/>
      <sheetId val="3"/>
      <sheetId val="4"/>
      <sheetId val="5"/>
      <sheetId val="6"/>
      <sheetId val="7"/>
      <sheetId val="8"/>
      <sheetId val="9"/>
      <sheetId val="10"/>
      <sheetId val="11"/>
      <sheetId val="12"/>
      <sheetId val="13"/>
    </sheetIdMap>
  </header>
  <header guid="{159E3652-1E90-4803-A3EF-2C6B00874595}" dateTime="2015-04-03T09:14:34" maxSheetId="14" userName="Wes Rivers" r:id="rId44" minRId="793" maxRId="797">
    <sheetIdMap count="13">
      <sheetId val="1"/>
      <sheetId val="2"/>
      <sheetId val="3"/>
      <sheetId val="4"/>
      <sheetId val="5"/>
      <sheetId val="6"/>
      <sheetId val="7"/>
      <sheetId val="8"/>
      <sheetId val="9"/>
      <sheetId val="10"/>
      <sheetId val="11"/>
      <sheetId val="12"/>
      <sheetId val="13"/>
    </sheetIdMap>
  </header>
  <header guid="{84804FA7-233A-4BBC-9126-317A807F4E3F}" dateTime="2015-04-03T09:16:55" maxSheetId="14" userName="Wes Rivers" r:id="rId45" minRId="798">
    <sheetIdMap count="13">
      <sheetId val="1"/>
      <sheetId val="2"/>
      <sheetId val="3"/>
      <sheetId val="4"/>
      <sheetId val="5"/>
      <sheetId val="6"/>
      <sheetId val="7"/>
      <sheetId val="8"/>
      <sheetId val="9"/>
      <sheetId val="10"/>
      <sheetId val="11"/>
      <sheetId val="12"/>
      <sheetId val="13"/>
    </sheetIdMap>
  </header>
  <header guid="{2DA16A3D-272A-46FC-87D8-8463085029C3}" dateTime="2015-04-03T10:06:22" maxSheetId="14" userName="Ed Lazere" r:id="rId46" minRId="799" maxRId="887">
    <sheetIdMap count="13">
      <sheetId val="1"/>
      <sheetId val="2"/>
      <sheetId val="3"/>
      <sheetId val="4"/>
      <sheetId val="5"/>
      <sheetId val="6"/>
      <sheetId val="7"/>
      <sheetId val="8"/>
      <sheetId val="9"/>
      <sheetId val="10"/>
      <sheetId val="11"/>
      <sheetId val="12"/>
      <sheetId val="13"/>
    </sheetIdMap>
  </header>
  <header guid="{69C9FA83-680C-4E79-9618-F79713E43FF1}" dateTime="2015-04-03T10:12:30" maxSheetId="14" userName="Ed Lazere" r:id="rId47" minRId="888" maxRId="901">
    <sheetIdMap count="13">
      <sheetId val="1"/>
      <sheetId val="2"/>
      <sheetId val="3"/>
      <sheetId val="4"/>
      <sheetId val="5"/>
      <sheetId val="6"/>
      <sheetId val="7"/>
      <sheetId val="8"/>
      <sheetId val="9"/>
      <sheetId val="10"/>
      <sheetId val="11"/>
      <sheetId val="12"/>
      <sheetId val="13"/>
    </sheetIdMap>
  </header>
  <header guid="{FBD9EAE5-48D4-4DBA-833F-78BCCBBE2B23}" dateTime="2015-04-03T10:20:02" maxSheetId="14" userName="bhat" r:id="rId48" minRId="902" maxRId="906">
    <sheetIdMap count="13">
      <sheetId val="1"/>
      <sheetId val="2"/>
      <sheetId val="3"/>
      <sheetId val="4"/>
      <sheetId val="5"/>
      <sheetId val="6"/>
      <sheetId val="7"/>
      <sheetId val="8"/>
      <sheetId val="9"/>
      <sheetId val="10"/>
      <sheetId val="11"/>
      <sheetId val="12"/>
      <sheetId val="13"/>
    </sheetIdMap>
  </header>
  <header guid="{96BFEB99-E083-4EA3-9030-5374F3F6835A}" dateTime="2015-04-03T11:02:21" maxSheetId="14" userName="bhat" r:id="rId49">
    <sheetIdMap count="13">
      <sheetId val="1"/>
      <sheetId val="2"/>
      <sheetId val="3"/>
      <sheetId val="4"/>
      <sheetId val="5"/>
      <sheetId val="6"/>
      <sheetId val="7"/>
      <sheetId val="8"/>
      <sheetId val="9"/>
      <sheetId val="10"/>
      <sheetId val="11"/>
      <sheetId val="12"/>
      <sheetId val="13"/>
    </sheetIdMap>
  </header>
  <header guid="{6989AAFA-64F1-473D-BA6C-16E5FC3C83C2}" dateTime="2015-04-03T12:20:03" maxSheetId="14" userName="Merrit Gillard" r:id="rId50" minRId="907" maxRId="915">
    <sheetIdMap count="13">
      <sheetId val="1"/>
      <sheetId val="2"/>
      <sheetId val="3"/>
      <sheetId val="4"/>
      <sheetId val="5"/>
      <sheetId val="6"/>
      <sheetId val="7"/>
      <sheetId val="8"/>
      <sheetId val="9"/>
      <sheetId val="10"/>
      <sheetId val="11"/>
      <sheetId val="12"/>
      <sheetId val="13"/>
    </sheetIdMap>
  </header>
  <header guid="{3FE1E366-367B-4800-91F8-9B9010B60477}" dateTime="2015-04-03T12:21:52" maxSheetId="14" userName="Kate Coventry" r:id="rId51" minRId="916" maxRId="921">
    <sheetIdMap count="13">
      <sheetId val="1"/>
      <sheetId val="2"/>
      <sheetId val="3"/>
      <sheetId val="4"/>
      <sheetId val="5"/>
      <sheetId val="6"/>
      <sheetId val="7"/>
      <sheetId val="8"/>
      <sheetId val="9"/>
      <sheetId val="10"/>
      <sheetId val="11"/>
      <sheetId val="12"/>
      <sheetId val="13"/>
    </sheetIdMap>
  </header>
  <header guid="{14457711-2C55-4DD1-B732-B2B356A29B5F}" dateTime="2015-04-03T12:44:47" maxSheetId="14" userName="Wes Rivers" r:id="rId52" minRId="922" maxRId="923">
    <sheetIdMap count="13">
      <sheetId val="1"/>
      <sheetId val="2"/>
      <sheetId val="3"/>
      <sheetId val="4"/>
      <sheetId val="5"/>
      <sheetId val="6"/>
      <sheetId val="7"/>
      <sheetId val="8"/>
      <sheetId val="9"/>
      <sheetId val="10"/>
      <sheetId val="11"/>
      <sheetId val="12"/>
      <sheetId val="13"/>
    </sheetIdMap>
  </header>
  <header guid="{9060B895-03DA-4BA6-A413-569EBD136DFF}" dateTime="2015-04-03T12:49:46" maxSheetId="14" userName="Kate Coventry" r:id="rId53" minRId="924" maxRId="978">
    <sheetIdMap count="13">
      <sheetId val="1"/>
      <sheetId val="2"/>
      <sheetId val="3"/>
      <sheetId val="4"/>
      <sheetId val="5"/>
      <sheetId val="6"/>
      <sheetId val="7"/>
      <sheetId val="8"/>
      <sheetId val="9"/>
      <sheetId val="10"/>
      <sheetId val="11"/>
      <sheetId val="12"/>
      <sheetId val="13"/>
    </sheetIdMap>
  </header>
  <header guid="{C8CBADA4-7C0E-4842-B335-977817BD06D0}" dateTime="2015-04-03T15:13:20" maxSheetId="14" userName="Ed Lazere" r:id="rId54" minRId="979" maxRId="1023">
    <sheetIdMap count="13">
      <sheetId val="1"/>
      <sheetId val="2"/>
      <sheetId val="3"/>
      <sheetId val="4"/>
      <sheetId val="5"/>
      <sheetId val="6"/>
      <sheetId val="7"/>
      <sheetId val="8"/>
      <sheetId val="9"/>
      <sheetId val="10"/>
      <sheetId val="11"/>
      <sheetId val="12"/>
      <sheetId val="13"/>
    </sheetIdMap>
  </header>
</headers>
</file>

<file path=xl/revisions/revisionLog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file>

<file path=xl/revisions/revisionLog1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33" sId="4" numFmtId="11">
    <oc r="CF125">
      <f>CD125+CE125</f>
    </oc>
    <nc r="CF125">
      <v>1860</v>
    </nc>
  </rcc>
  <rcc rId="34" sId="4" odxf="1" dxf="1" numFmtId="11">
    <nc r="CN125">
      <v>3001</v>
    </nc>
    <odxf>
      <numFmt numFmtId="0" formatCode="General"/>
    </odxf>
    <ndxf>
      <numFmt numFmtId="10" formatCode="&quot;$&quot;#,##0_);[Red]\(&quot;$&quot;#,##0\)"/>
    </ndxf>
  </rcc>
  <rcc rId="35" sId="4" numFmtId="11">
    <oc r="CF129">
      <f>CD129+CE129</f>
    </oc>
    <nc r="CF129">
      <v>627979</v>
    </nc>
  </rcc>
  <rcc rId="36" sId="4" odxf="1" dxf="1" numFmtId="11">
    <nc r="CN129">
      <v>682666</v>
    </nc>
    <odxf>
      <numFmt numFmtId="0" formatCode="General"/>
    </odxf>
    <ndxf>
      <numFmt numFmtId="10" formatCode="&quot;$&quot;#,##0_);[Red]\(&quot;$&quot;#,##0\)"/>
    </ndxf>
  </rcc>
</revisions>
</file>

<file path=xl/revisions/revisionLog1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37" sId="4" numFmtId="11">
    <oc r="CF207">
      <f>CD207+CE207</f>
    </oc>
    <nc r="CF207">
      <v>501901</v>
    </nc>
  </rcc>
  <rcc rId="38" sId="4" numFmtId="11">
    <oc r="CF208">
      <f>CD208+CE208</f>
    </oc>
    <nc r="CF208">
      <v>943</v>
    </nc>
  </rcc>
  <rcc rId="39" sId="4" numFmtId="11">
    <oc r="CF209">
      <f>CD209+CE209</f>
    </oc>
    <nc r="CF209">
      <v>22623</v>
    </nc>
  </rcc>
  <rcc rId="40" sId="4" numFmtId="11">
    <oc r="CF210">
      <f>CD210+CE210</f>
    </oc>
    <nc r="CF210">
      <v>21292</v>
    </nc>
  </rcc>
  <rcc rId="41" sId="4" numFmtId="11">
    <oc r="CF211">
      <v>4494</v>
    </oc>
    <nc r="CF211">
      <v>3926</v>
    </nc>
  </rcc>
  <rcc rId="42" sId="4" numFmtId="11">
    <oc r="CF212">
      <f>CD212+CE212</f>
    </oc>
    <nc r="CF212">
      <v>0</v>
    </nc>
  </rcc>
  <rcc rId="43" sId="4" numFmtId="11">
    <oc r="CF213">
      <f>CD213+CE213</f>
    </oc>
    <nc r="CF213">
      <v>0</v>
    </nc>
  </rcc>
  <rcc rId="44" sId="4" numFmtId="11">
    <oc r="CF220">
      <f>CD220+CE220</f>
    </oc>
    <nc r="CF220">
      <v>983</v>
    </nc>
  </rcc>
  <rcc rId="45" sId="4" numFmtId="11">
    <oc r="CF215">
      <f>CD215+CE215</f>
    </oc>
    <nc r="CF215">
      <v>45617</v>
    </nc>
  </rcc>
  <rcc rId="46" sId="4" numFmtId="11">
    <oc r="CF218">
      <f>CD218+CE218</f>
    </oc>
    <nc r="CF218">
      <v>59798</v>
    </nc>
  </rcc>
  <rcc rId="47" sId="4" numFmtId="11">
    <oc r="CF222">
      <f>CD222+CE222</f>
    </oc>
    <nc r="CF222">
      <v>86600</v>
    </nc>
  </rcc>
  <rcc rId="48" sId="4" numFmtId="11">
    <oc r="CF227">
      <f>CD227+CE227</f>
    </oc>
    <nc r="CF227">
      <v>41488</v>
    </nc>
  </rcc>
  <rcc rId="49" sId="4" numFmtId="11">
    <oc r="CF228">
      <f>CD228+CE228</f>
    </oc>
    <nc r="CF228">
      <v>108701</v>
    </nc>
  </rcc>
  <rcc rId="50" sId="4" numFmtId="11">
    <oc r="CF226">
      <f>CD226+CE226</f>
    </oc>
    <nc r="CF226">
      <v>12627</v>
    </nc>
  </rcc>
  <rcc rId="51" sId="4">
    <oc r="CF230">
      <f>CD230+CE230</f>
    </oc>
    <nc r="CF230"/>
  </rcc>
  <rcc rId="52" sId="4" odxf="1" s="1" dxf="1">
    <oc r="CF232">
      <f>CD232+CE232</f>
    </oc>
    <nc r="CF232">
      <f>SUM(CF207:CF230)</f>
    </nc>
    <odxf>
      <font>
        <b/>
        <i val="0"/>
        <strike val="0"/>
        <condense val="0"/>
        <extend val="0"/>
        <outline val="0"/>
        <shadow val="0"/>
        <u val="none"/>
        <vertAlign val="baseline"/>
        <sz val="11"/>
        <color auto="1"/>
        <name val="Calibri"/>
        <scheme val="minor"/>
      </font>
      <numFmt numFmtId="165" formatCode="&quot;$&quot;#,##0"/>
      <border diagonalUp="0" diagonalDown="0" outline="0">
        <left/>
        <right/>
        <top style="medium">
          <color indexed="64"/>
        </top>
        <bottom/>
      </border>
    </odxf>
    <ndxf/>
  </rcc>
  <rcv guid="{AEFEB150-9213-45F5-A178-7AC71E46DB11}" action="delete"/>
  <rcv guid="{AEFEB150-9213-45F5-A178-7AC71E46DB11}" action="add"/>
</revisions>
</file>

<file path=xl/revisions/revisionLog1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53" sId="4" odxf="1" dxf="1" numFmtId="11">
    <nc r="CN130">
      <v>67433</v>
    </nc>
    <odxf>
      <numFmt numFmtId="0" formatCode="General"/>
    </odxf>
    <ndxf>
      <numFmt numFmtId="10" formatCode="&quot;$&quot;#,##0_);[Red]\(&quot;$&quot;#,##0\)"/>
    </ndxf>
  </rcc>
  <rcc rId="54" sId="4" numFmtId="11">
    <oc r="CF131">
      <f>CD131+CE131</f>
    </oc>
    <nc r="CF131">
      <v>53401</v>
    </nc>
  </rcc>
  <rcc rId="55" sId="4" odxf="1" dxf="1" numFmtId="11">
    <nc r="CN131">
      <v>54715</v>
    </nc>
    <odxf>
      <numFmt numFmtId="0" formatCode="General"/>
    </odxf>
    <ndxf>
      <numFmt numFmtId="10" formatCode="&quot;$&quot;#,##0_);[Red]\(&quot;$&quot;#,##0\)"/>
    </ndxf>
  </rcc>
  <rcc rId="56" sId="4" numFmtId="11">
    <oc r="CF132">
      <f>CD132+CE132</f>
    </oc>
    <nc r="CF132">
      <v>1159</v>
    </nc>
  </rcc>
  <rcc rId="57" sId="4" odxf="1" dxf="1" numFmtId="11">
    <nc r="CN132">
      <v>8000</v>
    </nc>
    <odxf>
      <numFmt numFmtId="0" formatCode="General"/>
    </odxf>
    <ndxf>
      <numFmt numFmtId="10" formatCode="&quot;$&quot;#,##0_);[Red]\(&quot;$&quot;#,##0\)"/>
    </ndxf>
  </rcc>
  <rcc rId="58" sId="4" numFmtId="11">
    <oc r="CF135">
      <f>CD135+CE135</f>
    </oc>
    <nc r="CF135">
      <v>77413</v>
    </nc>
  </rcc>
  <rcc rId="59" sId="4" odxf="1" dxf="1" numFmtId="11">
    <nc r="CN135">
      <v>74415</v>
    </nc>
    <odxf>
      <numFmt numFmtId="0" formatCode="General"/>
    </odxf>
    <ndxf>
      <numFmt numFmtId="10" formatCode="&quot;$&quot;#,##0_);[Red]\(&quot;$&quot;#,##0\)"/>
    </ndxf>
  </rcc>
</revisions>
</file>

<file path=xl/revisions/revisionLog1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60" sId="4">
    <oc r="CN207" t="inlineStr">
      <is>
        <t>substanial!</t>
      </is>
    </oc>
    <nc r="CN207">
      <v>598461</v>
    </nc>
  </rcc>
  <rcc rId="61" sId="4">
    <nc r="CN208">
      <v>5000</v>
    </nc>
  </rcc>
  <rcc rId="62" sId="4">
    <nc r="CN220">
      <v>6000</v>
    </nc>
  </rcc>
  <rcc rId="63" sId="4">
    <nc r="CN216">
      <v>14276</v>
    </nc>
  </rcc>
  <rcc rId="64" sId="4">
    <nc r="CN210">
      <v>21292</v>
    </nc>
  </rcc>
  <rcc rId="65" sId="4">
    <nc r="CN211">
      <v>4745</v>
    </nc>
  </rcc>
  <rcc rId="66" sId="4">
    <nc r="CN212">
      <v>17815</v>
    </nc>
  </rcc>
  <rcc rId="67" sId="4">
    <nc r="CN213">
      <v>21036</v>
    </nc>
  </rcc>
  <rcc rId="68" sId="4">
    <oc r="CN215" t="inlineStr">
      <is>
        <t>substanial!</t>
      </is>
    </oc>
    <nc r="CN215">
      <v>48413</v>
    </nc>
  </rcc>
  <rcc rId="69" sId="4">
    <nc r="CN218">
      <v>72291</v>
    </nc>
  </rcc>
  <rcc rId="70" sId="4">
    <oc r="CN222" t="inlineStr">
      <is>
        <t>drop</t>
      </is>
    </oc>
    <nc r="CN222">
      <v>95400</v>
    </nc>
  </rcc>
  <rcc rId="71" sId="4">
    <nc r="CN227">
      <v>22500</v>
    </nc>
  </rcc>
  <rcc rId="72" sId="4">
    <nc r="CN228">
      <v>120054</v>
    </nc>
  </rcc>
  <rcc rId="73" sId="4" odxf="1" s="1" dxf="1">
    <nc r="CN232">
      <f>SUM(CN207:CN230)</f>
    </nc>
    <odxf>
      <font>
        <b/>
        <i val="0"/>
        <strike val="0"/>
        <condense val="0"/>
        <extend val="0"/>
        <outline val="0"/>
        <shadow val="0"/>
        <u val="none"/>
        <vertAlign val="baseline"/>
        <sz val="11"/>
        <color auto="1"/>
        <name val="Calibri"/>
        <scheme val="minor"/>
      </font>
      <numFmt numFmtId="0" formatCode="General"/>
      <fill>
        <patternFill patternType="none">
          <fgColor indexed="64"/>
          <bgColor indexed="65"/>
        </patternFill>
      </fill>
      <border diagonalUp="0" diagonalDown="0" outline="0">
        <left/>
        <right/>
        <top style="medium">
          <color indexed="64"/>
        </top>
        <bottom/>
      </border>
    </odxf>
    <ndxf>
      <numFmt numFmtId="165" formatCode="&quot;$&quot;#,##0"/>
    </ndxf>
  </rcc>
  <rcc rId="74" sId="4">
    <nc r="CN223">
      <v>7832</v>
    </nc>
  </rcc>
</revisions>
</file>

<file path=xl/revisions/revisionLog1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75" sId="4">
    <nc r="CK207">
      <f>CI207+CJ207</f>
    </nc>
  </rcc>
  <rcc rId="76" sId="4">
    <nc r="CK208">
      <f>CI208+CJ208</f>
    </nc>
  </rcc>
  <rcc rId="77" sId="4">
    <nc r="CK209">
      <f>CI209+CJ209</f>
    </nc>
  </rcc>
  <rcc rId="78" sId="4">
    <nc r="CK210">
      <f>CI210+CJ210</f>
    </nc>
  </rcc>
  <rcc rId="79" sId="4">
    <nc r="CK211">
      <f>CI211+CJ211</f>
    </nc>
  </rcc>
  <rcc rId="80" sId="4">
    <nc r="CK212">
      <f>CI212+CJ212</f>
    </nc>
  </rcc>
  <rcc rId="81" sId="4">
    <nc r="CK213">
      <f>CI213+CJ213</f>
    </nc>
  </rcc>
  <rcc rId="82" sId="4">
    <nc r="CK214">
      <f>CI214+CJ214</f>
    </nc>
  </rcc>
  <rcc rId="83" sId="4">
    <nc r="CK215">
      <f>CI215+CJ215</f>
    </nc>
  </rcc>
  <rcc rId="84" sId="4">
    <nc r="CK216">
      <f>CI216+CJ216</f>
    </nc>
  </rcc>
  <rcc rId="85" sId="4">
    <nc r="CK217">
      <f>CI217+CJ217</f>
    </nc>
  </rcc>
  <rcc rId="86" sId="4">
    <nc r="CK218">
      <f>CI218+CJ218</f>
    </nc>
  </rcc>
  <rcc rId="87" sId="4">
    <nc r="CK219">
      <f>CI219+CJ219</f>
    </nc>
  </rcc>
  <rcc rId="88" sId="4" odxf="1" dxf="1">
    <nc r="CK220">
      <f>CI220+CJ220</f>
    </nc>
    <odxf/>
    <ndxf/>
  </rcc>
  <rcc rId="89" sId="4" odxf="1" dxf="1">
    <nc r="CK221">
      <f>CI221+CJ221</f>
    </nc>
    <odxf/>
    <ndxf/>
  </rcc>
  <rcc rId="90" sId="4" odxf="1" dxf="1">
    <nc r="CK222">
      <f>CI222+CJ222</f>
    </nc>
    <odxf/>
    <ndxf/>
  </rcc>
  <rcc rId="91" sId="4" odxf="1" dxf="1">
    <nc r="CK223">
      <f>CI223+CJ223</f>
    </nc>
    <odxf/>
    <ndxf/>
  </rcc>
  <rcc rId="92" sId="4" odxf="1" dxf="1">
    <nc r="CK224">
      <f>CI224+CJ224</f>
    </nc>
    <odxf/>
    <ndxf/>
  </rcc>
  <rcc rId="93" sId="4" odxf="1" dxf="1">
    <nc r="CK225">
      <f>CI225+CJ225</f>
    </nc>
    <odxf/>
    <ndxf/>
  </rcc>
  <rcc rId="94" sId="4" odxf="1" dxf="1">
    <nc r="CK226">
      <f>CI226+CJ226</f>
    </nc>
    <odxf/>
    <ndxf/>
  </rcc>
  <rcc rId="95" sId="4" odxf="1" dxf="1">
    <nc r="CK227">
      <f>CI227+CJ227</f>
    </nc>
    <odxf/>
    <ndxf/>
  </rcc>
  <rcc rId="96" sId="4" odxf="1" dxf="1">
    <nc r="CK228">
      <f>CI228+CJ228</f>
    </nc>
    <odxf/>
    <ndxf/>
  </rcc>
  <rcc rId="97" sId="4" odxf="1" dxf="1">
    <nc r="CK229">
      <f>CI229+CJ229</f>
    </nc>
    <odxf/>
    <ndxf/>
  </rcc>
  <rcc rId="98" sId="4" odxf="1" dxf="1">
    <nc r="CK230">
      <f>CI230+CJ230</f>
    </nc>
    <odxf/>
    <ndxf/>
  </rcc>
  <rcc rId="99" sId="4" odxf="1" dxf="1">
    <nc r="CK231">
      <f>CI231+CJ231</f>
    </nc>
    <odxf>
      <numFmt numFmtId="0" formatCode="General"/>
    </odxf>
    <ndxf>
      <numFmt numFmtId="165" formatCode="&quot;$&quot;#,##0"/>
    </ndxf>
  </rcc>
  <rcc rId="100" sId="4">
    <nc r="CK232">
      <f>SUM(CK207:CK230)</f>
    </nc>
  </rcc>
  <rfmt sheetId="5" sqref="CJ202:CJ226">
    <dxf>
      <numFmt numFmtId="164" formatCode="0.0%"/>
    </dxf>
  </rfmt>
  <rfmt sheetId="4" sqref="CP207:CP231">
    <dxf>
      <numFmt numFmtId="164" formatCode="0.0%"/>
    </dxf>
  </rfmt>
  <rcc rId="101" sId="5">
    <oc r="CH202">
      <f>'FY 2016 by Agency'!CN202*Inflator!$E$18</f>
    </oc>
    <nc r="CH202">
      <f>'FY 2016 by Agency'!CN207*Inflator!$E$18</f>
    </nc>
  </rcc>
  <rcc rId="102" sId="5">
    <oc r="CH203">
      <f>'FY 2016 by Agency'!CN203*Inflator!$E$18</f>
    </oc>
    <nc r="CH203">
      <f>'FY 2016 by Agency'!CN208*Inflator!$E$18</f>
    </nc>
  </rcc>
  <rcc rId="103" sId="5">
    <oc r="CH204">
      <f>'FY 2016 by Agency'!CN204*Inflator!$E$18</f>
    </oc>
    <nc r="CH204">
      <f>'FY 2016 by Agency'!CN209*Inflator!$E$18</f>
    </nc>
  </rcc>
  <rcc rId="104" sId="5">
    <oc r="CH205">
      <f>'FY 2016 by Agency'!CN205*Inflator!$E$18</f>
    </oc>
    <nc r="CH205">
      <f>'FY 2016 by Agency'!CN210*Inflator!$E$18</f>
    </nc>
  </rcc>
  <rcc rId="105" sId="5">
    <oc r="CH206">
      <f>'FY 2016 by Agency'!CN206*Inflator!$E$18</f>
    </oc>
    <nc r="CH206">
      <f>'FY 2016 by Agency'!CN211*Inflator!$E$18</f>
    </nc>
  </rcc>
  <rcc rId="106" sId="5">
    <oc r="CH207">
      <f>'FY 2016 by Agency'!CN207*Inflator!$E$18</f>
    </oc>
    <nc r="CH207">
      <f>'FY 2016 by Agency'!CN212*Inflator!$E$18</f>
    </nc>
  </rcc>
  <rcc rId="107" sId="5">
    <oc r="CH208">
      <f>'FY 2016 by Agency'!CN208*Inflator!$E$18</f>
    </oc>
    <nc r="CH208">
      <f>'FY 2016 by Agency'!CN213*Inflator!$E$18</f>
    </nc>
  </rcc>
  <rcc rId="108" sId="5">
    <oc r="CH209">
      <f>'FY 2016 by Agency'!CN209*Inflator!$E$18</f>
    </oc>
    <nc r="CH209">
      <f>'FY 2016 by Agency'!CN214*Inflator!$E$18</f>
    </nc>
  </rcc>
  <rcc rId="109" sId="5">
    <oc r="CH210">
      <f>'FY 2016 by Agency'!CN210*Inflator!$E$18</f>
    </oc>
    <nc r="CH210">
      <f>'FY 2016 by Agency'!CN215*Inflator!$E$18</f>
    </nc>
  </rcc>
  <rcc rId="110" sId="5">
    <oc r="CH211">
      <f>'FY 2016 by Agency'!CN211*Inflator!$E$18</f>
    </oc>
    <nc r="CH211">
      <f>'FY 2016 by Agency'!CN216*Inflator!$E$18</f>
    </nc>
  </rcc>
  <rcc rId="111" sId="5">
    <oc r="CH212">
      <f>'FY 2016 by Agency'!CN212*Inflator!$E$18</f>
    </oc>
    <nc r="CH212">
      <f>'FY 2016 by Agency'!CN217*Inflator!$E$18</f>
    </nc>
  </rcc>
  <rcc rId="112" sId="5">
    <oc r="CH213">
      <f>'FY 2016 by Agency'!CN213*Inflator!$E$18</f>
    </oc>
    <nc r="CH213">
      <f>'FY 2016 by Agency'!CN218*Inflator!$E$18</f>
    </nc>
  </rcc>
  <rcc rId="113" sId="5">
    <oc r="CH214">
      <f>'FY 2016 by Agency'!CN214*Inflator!$E$18</f>
    </oc>
    <nc r="CH214">
      <f>'FY 2016 by Agency'!CN219*Inflator!$E$18</f>
    </nc>
  </rcc>
  <rcc rId="114" sId="5">
    <oc r="CH215">
      <f>'FY 2016 by Agency'!CN215*Inflator!$E$18</f>
    </oc>
    <nc r="CH215">
      <f>'FY 2016 by Agency'!CN220*Inflator!$E$18</f>
    </nc>
  </rcc>
  <rcc rId="115" sId="5">
    <oc r="CH216">
      <f>'FY 2016 by Agency'!CN216*Inflator!$E$18</f>
    </oc>
    <nc r="CH216">
      <f>'FY 2016 by Agency'!CN221*Inflator!$E$18</f>
    </nc>
  </rcc>
  <rcc rId="116" sId="5">
    <oc r="CH217">
      <f>'FY 2016 by Agency'!CN217*Inflator!$E$18</f>
    </oc>
    <nc r="CH217">
      <f>'FY 2016 by Agency'!CN222*Inflator!$E$18</f>
    </nc>
  </rcc>
  <rcc rId="117" sId="5">
    <oc r="CH218">
      <f>'FY 2016 by Agency'!CN218*Inflator!$E$18</f>
    </oc>
    <nc r="CH218">
      <f>'FY 2016 by Agency'!CN223*Inflator!$E$18</f>
    </nc>
  </rcc>
  <rcc rId="118" sId="5">
    <oc r="CH219">
      <f>'FY 2016 by Agency'!CN219*Inflator!$E$18</f>
    </oc>
    <nc r="CH219">
      <f>'FY 2016 by Agency'!CN224*Inflator!$E$18</f>
    </nc>
  </rcc>
  <rcc rId="119" sId="5">
    <oc r="CH220">
      <f>'FY 2016 by Agency'!CN220*Inflator!$E$18</f>
    </oc>
    <nc r="CH220">
      <f>'FY 2016 by Agency'!CN225*Inflator!$E$18</f>
    </nc>
  </rcc>
  <rcc rId="120" sId="5">
    <oc r="CH221">
      <f>'FY 2016 by Agency'!CN221*Inflator!$E$18</f>
    </oc>
    <nc r="CH221">
      <f>'FY 2016 by Agency'!CN226*Inflator!$E$18</f>
    </nc>
  </rcc>
  <rcc rId="121" sId="5">
    <oc r="CH222">
      <f>'FY 2016 by Agency'!CN222*Inflator!$E$18</f>
    </oc>
    <nc r="CH222">
      <f>'FY 2016 by Agency'!CN227*Inflator!$E$18</f>
    </nc>
  </rcc>
  <rcc rId="122" sId="5">
    <oc r="CH223">
      <f>'FY 2016 by Agency'!CN223*Inflator!$E$18</f>
    </oc>
    <nc r="CH223">
      <f>'FY 2016 by Agency'!CN228*Inflator!$E$18</f>
    </nc>
  </rcc>
  <rcc rId="123" sId="5">
    <oc r="CH224">
      <f>'FY 2016 by Agency'!CN224*Inflator!$E$18</f>
    </oc>
    <nc r="CH224">
      <f>'FY 2016 by Agency'!CN229*Inflator!$E$18</f>
    </nc>
  </rcc>
  <rcc rId="124" sId="5">
    <oc r="CH225">
      <f>'FY 2016 by Agency'!CN225*Inflator!$E$18</f>
    </oc>
    <nc r="CH225">
      <f>'FY 2016 by Agency'!CN230*Inflator!$E$18</f>
    </nc>
  </rcc>
  <rrc rId="125" sId="5" ref="A226:XFD226" action="insertRow">
    <undo index="4" exp="area" ref3D="1" dr="$A$232:$XFD$246" dn="Z_F784130D_F647_4ABA_8943_C79CA5B0FDC4_.wvu.Rows" sId="5"/>
    <undo index="4" exp="area" ref3D="1" dr="$BO$1:$BT$1048576" dn="Z_E81D05A4_5B21_42D3_A8D3_906ABCABC0F4_.wvu.Cols" sId="5"/>
    <undo index="2" exp="area" ref3D="1" dr="$AI$1:$BK$1048576" dn="Z_E81D05A4_5B21_42D3_A8D3_906ABCABC0F4_.wvu.Cols" sId="5"/>
    <undo index="1" exp="area" ref3D="1" dr="$AD$1:$AE$1048576" dn="Z_E81D05A4_5B21_42D3_A8D3_906ABCABC0F4_.wvu.Cols" sId="5"/>
    <undo index="10" exp="area" ref3D="1" dr="$A$232:$XFD$246" dn="Z_E81D05A4_5B21_42D3_A8D3_906ABCABC0F4_.wvu.Rows" sId="5"/>
    <undo index="2" exp="area" ref3D="1" dr="$BO$1:$BT$1048576" dn="Z_E44F5FE1_54FC_4AB3_84F9_7D65ACF2DDE7_.wvu.Cols" sId="5"/>
    <undo index="1" exp="area" ref3D="1" dr="$AI$1:$BK$1048576" dn="Z_E44F5FE1_54FC_4AB3_84F9_7D65ACF2DDE7_.wvu.Cols" sId="5"/>
    <undo index="2" exp="area" ref3D="1" dr="$A$232:$XFD$246" dn="Z_CBA65C9F_528B_4CA5_AFDD_C38CD40775BB_.wvu.Rows" sId="5"/>
    <undo index="12" exp="area" ref3D="1" dr="$A$232:$XFD$246" dn="Z_9D4F0482_B164_4671_805A_E0D2D4DD4720_.wvu.Rows" sId="5"/>
    <undo index="2" exp="area" ref3D="1" dr="$AI$1:$BJ$1048576" dn="Z_9D4F0482_B164_4671_805A_E0D2D4DD4720_.wvu.Cols" sId="5"/>
    <undo index="1" exp="area" ref3D="1" dr="$AD$1:$AE$1048576" dn="Z_9D4F0482_B164_4671_805A_E0D2D4DD4720_.wvu.Cols" sId="5"/>
    <undo index="2" exp="area" ref3D="1" dr="$A$232:$XFD$246" dn="Z_E44F5FE1_54FC_4AB3_84F9_7D65ACF2DDE7_.wvu.Rows" sId="5"/>
    <undo index="2" exp="area" ref3D="1" dr="$AZ$1:$BH$1048576" dn="Z_F784130D_F647_4ABA_8943_C79CA5B0FDC4_.wvu.Cols" sId="5"/>
    <undo index="1" exp="area" ref3D="1" dr="$AJ$1:$AM$1048576" dn="Z_F784130D_F647_4ABA_8943_C79CA5B0FDC4_.wvu.Cols" sId="5"/>
    <undo index="0" exp="area" ref3D="1" dr="$AJ$1:$AM$1048576" dn="Z_CBA65C9F_528B_4CA5_AFDD_C38CD40775BB_.wvu.Cols" sId="5"/>
    <undo index="2" exp="area" ref3D="1" dr="$A$232:$XFD$246" dn="Z_94DA13B6_7351_40F3_8CF7_A4211EC439DA_.wvu.Rows" sId="5"/>
    <undo index="4" exp="area" ref3D="1" dr="$AP$1:$AS$1048576" dn="Z_94DA13B6_7351_40F3_8CF7_A4211EC439DA_.wvu.Cols" sId="5"/>
    <undo index="2" exp="area" ref3D="1" dr="$AJ$1:$AM$1048576" dn="Z_94DA13B6_7351_40F3_8CF7_A4211EC439DA_.wvu.Cols" sId="5"/>
    <undo index="1" exp="area" ref3D="1" dr="$V$1:$AB$1048576" dn="Z_94DA13B6_7351_40F3_8CF7_A4211EC439DA_.wvu.Cols" sId="5"/>
    <undo index="2" exp="area" ref3D="1" dr="$A$232:$XFD$246" dn="Z_8F508F4D_4777_42BE_9707_8CB9355F7BDB_.wvu.Rows" sId="5"/>
    <undo index="2" exp="area" ref3D="1" dr="$AJ$1:$AM$1048576" dn="Z_8F508F4D_4777_42BE_9707_8CB9355F7BDB_.wvu.Cols" sId="5"/>
    <undo index="1" exp="area" ref3D="1" dr="$V$1:$AB$1048576" dn="Z_8F508F4D_4777_42BE_9707_8CB9355F7BDB_.wvu.Cols" sId="5"/>
    <undo index="2" exp="area" ref3D="1" dr="$A$232:$XFD$246" dn="Z_7A9890A5_7CC2_466F_AA52_39E8D428DC1C_.wvu.Rows" sId="5"/>
    <undo index="4" exp="area" ref3D="1" dr="$BX$1:$BX$1048576" dn="Z_7A9890A5_7CC2_466F_AA52_39E8D428DC1C_.wvu.Cols" sId="5"/>
    <undo index="2" exp="area" ref3D="1" dr="$AP$1:$AS$1048576" dn="Z_7A9890A5_7CC2_466F_AA52_39E8D428DC1C_.wvu.Cols" sId="5"/>
    <undo index="1" exp="area" ref3D="1" dr="$AJ$1:$AM$1048576" dn="Z_7A9890A5_7CC2_466F_AA52_39E8D428DC1C_.wvu.Cols" sId="5"/>
    <undo index="0" exp="area" ref3D="1" dr="$A$232:$XFD$247" dn="Z_78CA186D_B240_44D5_8A24_D241DE0B0FD9_.wvu.Rows" sId="5"/>
    <undo index="6" exp="area" ref3D="1" dr="$BU$1:$BX$1048576" dn="Z_78CA186D_B240_44D5_8A24_D241DE0B0FD9_.wvu.Cols" sId="5"/>
    <undo index="4" exp="area" ref3D="1" dr="$BO$1:$BQ$1048576" dn="Z_78CA186D_B240_44D5_8A24_D241DE0B0FD9_.wvu.Cols" sId="5"/>
    <undo index="2" exp="area" ref3D="1" dr="$AI$1:$BK$1048576" dn="Z_78CA186D_B240_44D5_8A24_D241DE0B0FD9_.wvu.Cols" sId="5"/>
    <undo index="1" exp="area" ref3D="1" dr="$AD$1:$AE$1048576" dn="Z_78CA186D_B240_44D5_8A24_D241DE0B0FD9_.wvu.Cols" sId="5"/>
    <undo index="0" exp="area" ref3D="1" dr="$A$232:$XFD$247" dn="Z_70E2A0B1_0EA6_43AE_8715_395179465BE5_.wvu.Rows" sId="5"/>
    <undo index="4" exp="area" ref3D="1" dr="$BU$1:$BX$1048576" dn="Z_70E2A0B1_0EA6_43AE_8715_395179465BE5_.wvu.Cols" sId="5"/>
    <undo index="2" exp="area" ref3D="1" dr="$BO$1:$BQ$1048576" dn="Z_70E2A0B1_0EA6_43AE_8715_395179465BE5_.wvu.Cols" sId="5"/>
    <undo index="1" exp="area" ref3D="1" dr="$AI$1:$BK$1048576" dn="Z_70E2A0B1_0EA6_43AE_8715_395179465BE5_.wvu.Cols" sId="5"/>
    <undo index="2" exp="area" ref3D="1" dr="$A$232:$XFD$246" dn="Z_567C3053_2D8E_4705_8DC7_18896C5303CA_.wvu.Rows" sId="5"/>
    <undo index="4" exp="area" ref3D="1" dr="$BX$1:$BX$1048576" dn="Z_567C3053_2D8E_4705_8DC7_18896C5303CA_.wvu.Cols" sId="5"/>
    <undo index="2" exp="area" ref3D="1" dr="$AP$1:$AS$1048576" dn="Z_567C3053_2D8E_4705_8DC7_18896C5303CA_.wvu.Cols" sId="5"/>
    <undo index="1" exp="area" ref3D="1" dr="$AJ$1:$AM$1048576" dn="Z_567C3053_2D8E_4705_8DC7_18896C5303CA_.wvu.Cols" sId="5"/>
    <undo index="0" exp="area" ref3D="1" dr="$A$232:$XFD$247" dn="Z_5102CD51_6323_4C0C_991F_AF8276ECBB13_.wvu.Rows" sId="5"/>
    <undo index="6" exp="area" ref3D="1" dr="$BU$1:$BX$1048576" dn="Z_5102CD51_6323_4C0C_991F_AF8276ECBB13_.wvu.Cols" sId="5"/>
    <undo index="4" exp="area" ref3D="1" dr="$BO$1:$BQ$1048576" dn="Z_5102CD51_6323_4C0C_991F_AF8276ECBB13_.wvu.Cols" sId="5"/>
    <undo index="2" exp="area" ref3D="1" dr="$AI$1:$BK$1048576" dn="Z_5102CD51_6323_4C0C_991F_AF8276ECBB13_.wvu.Cols" sId="5"/>
    <undo index="1" exp="area" ref3D="1" dr="$AD$1:$AE$1048576" dn="Z_5102CD51_6323_4C0C_991F_AF8276ECBB13_.wvu.Cols" sId="5"/>
    <undo index="10" exp="area" ref3D="1" dr="$A$232:$XFD$246" dn="Z_455630F5_40FC_47DB_8AD4_712C20B8FB91_.wvu.Rows" sId="5"/>
    <undo index="2" exp="area" ref3D="1" dr="$AI$1:$BK$1048576" dn="Z_455630F5_40FC_47DB_8AD4_712C20B8FB91_.wvu.Cols" sId="5"/>
    <undo index="1" exp="area" ref3D="1" dr="$AD$1:$AE$1048576" dn="Z_455630F5_40FC_47DB_8AD4_712C20B8FB91_.wvu.Cols" sId="5"/>
    <undo index="2" exp="area" ref3D="1" dr="$A$232:$XFD$246" dn="Z_1E5198E1_BA46_4CE0_8628_4F695B0D7A3B_.wvu.Rows" sId="5"/>
    <undo index="0" exp="area" ref3D="1" dr="$A$232:$XFD$247" dn="Z_08B0A6E6_0C62_4331_9E9A_05DFF5B8DF5B_.wvu.Rows" sId="5"/>
    <undo index="6" exp="area" ref3D="1" dr="$BU$1:$BX$1048576" dn="Z_08B0A6E6_0C62_4331_9E9A_05DFF5B8DF5B_.wvu.Cols" sId="5"/>
    <undo index="4" exp="area" ref3D="1" dr="$BO$1:$BQ$1048576" dn="Z_08B0A6E6_0C62_4331_9E9A_05DFF5B8DF5B_.wvu.Cols" sId="5"/>
    <undo index="2" exp="area" ref3D="1" dr="$AI$1:$BK$1048576" dn="Z_08B0A6E6_0C62_4331_9E9A_05DFF5B8DF5B_.wvu.Cols" sId="5"/>
    <undo index="1" exp="area" ref3D="1" dr="$AD$1:$AE$1048576" dn="Z_08B0A6E6_0C62_4331_9E9A_05DFF5B8DF5B_.wvu.Cols" sId="5"/>
  </rrc>
  <rcc rId="126" sId="5">
    <nc r="A226" t="inlineStr">
      <is>
        <t>Inaugural Expenses</t>
      </is>
    </nc>
  </rcc>
  <rfmt sheetId="5" sqref="A225:XFD225" start="0" length="0">
    <dxf>
      <border>
        <bottom/>
      </border>
    </dxf>
  </rfmt>
  <rcc rId="127" sId="5">
    <nc r="B226" t="inlineStr">
      <is>
        <t>—</t>
      </is>
    </nc>
  </rcc>
  <rcc rId="128" sId="5">
    <nc r="C226" t="inlineStr">
      <is>
        <t>—</t>
      </is>
    </nc>
  </rcc>
  <rcc rId="129" sId="5">
    <nc r="D226" t="inlineStr">
      <is>
        <t>—</t>
      </is>
    </nc>
  </rcc>
  <rcc rId="130" sId="5">
    <nc r="E226" t="inlineStr">
      <is>
        <t>—</t>
      </is>
    </nc>
  </rcc>
  <rcc rId="131" sId="5">
    <nc r="F226" t="inlineStr">
      <is>
        <t>—</t>
      </is>
    </nc>
  </rcc>
  <rcc rId="132" sId="5">
    <nc r="G226" t="inlineStr">
      <is>
        <t>—</t>
      </is>
    </nc>
  </rcc>
  <rcc rId="133" sId="5">
    <nc r="H226" t="inlineStr">
      <is>
        <t>—</t>
      </is>
    </nc>
  </rcc>
  <rcc rId="134" sId="5">
    <nc r="I226" t="inlineStr">
      <is>
        <t>—</t>
      </is>
    </nc>
  </rcc>
  <rcc rId="135" sId="5">
    <nc r="J226" t="inlineStr">
      <is>
        <t>—</t>
      </is>
    </nc>
  </rcc>
  <rcc rId="136" sId="5">
    <nc r="K226" t="inlineStr">
      <is>
        <t>—</t>
      </is>
    </nc>
  </rcc>
  <rcc rId="137" sId="5">
    <nc r="L226" t="inlineStr">
      <is>
        <t>—</t>
      </is>
    </nc>
  </rcc>
  <rcc rId="138" sId="5">
    <nc r="M226" t="inlineStr">
      <is>
        <t>—</t>
      </is>
    </nc>
  </rcc>
  <rcc rId="139" sId="5">
    <nc r="N226" t="inlineStr">
      <is>
        <t>—</t>
      </is>
    </nc>
  </rcc>
  <rcc rId="140" sId="5">
    <nc r="O226" t="inlineStr">
      <is>
        <t>—</t>
      </is>
    </nc>
  </rcc>
  <rcc rId="141" sId="5">
    <nc r="P226" t="inlineStr">
      <is>
        <t>—</t>
      </is>
    </nc>
  </rcc>
  <rcc rId="142" sId="5">
    <nc r="Q226" t="inlineStr">
      <is>
        <t>—</t>
      </is>
    </nc>
  </rcc>
  <rcc rId="143" sId="5">
    <nc r="R226" t="inlineStr">
      <is>
        <t>—</t>
      </is>
    </nc>
  </rcc>
  <rcc rId="144" sId="5">
    <nc r="S226" t="inlineStr">
      <is>
        <t>—</t>
      </is>
    </nc>
  </rcc>
  <rcc rId="145" sId="5">
    <nc r="T226" t="inlineStr">
      <is>
        <t>—</t>
      </is>
    </nc>
  </rcc>
  <rcc rId="146" sId="5">
    <nc r="U226" t="inlineStr">
      <is>
        <t>—</t>
      </is>
    </nc>
  </rcc>
  <rcc rId="147" sId="5">
    <nc r="V226" t="inlineStr">
      <is>
        <t>—</t>
      </is>
    </nc>
  </rcc>
  <rcc rId="148" sId="5">
    <nc r="W226" t="inlineStr">
      <is>
        <t>—</t>
      </is>
    </nc>
  </rcc>
  <rcc rId="149" sId="5">
    <nc r="X226" t="inlineStr">
      <is>
        <t>—</t>
      </is>
    </nc>
  </rcc>
  <rcc rId="150" sId="5">
    <nc r="Y226" t="inlineStr">
      <is>
        <t>—</t>
      </is>
    </nc>
  </rcc>
  <rcc rId="151" sId="5">
    <nc r="Z226" t="inlineStr">
      <is>
        <t>—</t>
      </is>
    </nc>
  </rcc>
  <rcc rId="152" sId="5">
    <nc r="AA226">
      <f>'FY 2016 by Agency'!AA231*Inflator!$E$11</f>
    </nc>
  </rcc>
  <rcc rId="153" sId="5">
    <nc r="AD226">
      <f>'FY 2016 by Agency'!AD231*Inflator!#REF!</f>
    </nc>
  </rcc>
  <rcc rId="154" sId="5" numFmtId="4">
    <nc r="BI226">
      <v>3000</v>
    </nc>
  </rcc>
  <rcc rId="155" sId="5">
    <nc r="BJ226">
      <f>BI226-AY226</f>
    </nc>
  </rcc>
  <rcc rId="156" sId="5">
    <nc r="BK226">
      <f>BI226+AP226+AQ226</f>
    </nc>
  </rcc>
  <rcc rId="157" sId="5">
    <nc r="BL226">
      <f>'FY 2016 by Agency'!BB231*Inflator!$E$13</f>
    </nc>
  </rcc>
  <rcc rId="158" sId="5">
    <nc r="BM226">
      <f>BL226-AF226</f>
    </nc>
  </rcc>
  <rcc rId="159" sId="5">
    <nc r="BN226">
      <f>BM226/AF226</f>
    </nc>
  </rcc>
  <rcc rId="160" sId="5">
    <nc r="BO226">
      <f>'FY 2016 by Agency'!AX231*Inflator!$E$13</f>
    </nc>
  </rcc>
  <rcc rId="161" sId="5">
    <nc r="BP226">
      <f>BO226-AF226</f>
    </nc>
  </rcc>
  <rcc rId="162" sId="5">
    <nc r="BQ226">
      <f>BP226/AF226</f>
    </nc>
  </rcc>
  <rcc rId="163" sId="5">
    <nc r="BR226">
      <f>'FY 2016 by Agency'!BE231*Inflator!$E$14</f>
    </nc>
  </rcc>
  <rcc rId="164" sId="5">
    <nc r="BS226">
      <f>BR226-BO226</f>
    </nc>
  </rcc>
  <rcc rId="165" sId="5">
    <nc r="BT226">
      <f>BS226/BO226</f>
    </nc>
  </rcc>
  <rcc rId="166" sId="5">
    <nc r="BU226">
      <f>'FY 2016 by Agency'!BL231*Inflator!$E$14</f>
    </nc>
  </rcc>
  <rcc rId="167" sId="5">
    <nc r="BV226">
      <f>BU226-BL226</f>
    </nc>
  </rcc>
  <rcc rId="168" sId="5" numFmtId="11">
    <nc r="BW226">
      <v>3000</v>
    </nc>
  </rcc>
  <rcc rId="169" sId="5">
    <nc r="BX226">
      <f>'FY 2016 by Agency'!BW231*Inflator!E16</f>
    </nc>
  </rcc>
  <rcc rId="170" sId="5">
    <nc r="BY226">
      <f>'FY 2016 by Agency'!BZ231*Inflator!$E$15</f>
    </nc>
  </rcc>
  <rcc rId="171" sId="5">
    <nc r="BZ226">
      <f>BW226-BR226</f>
    </nc>
  </rcc>
  <rcc rId="172" sId="5">
    <nc r="CA226">
      <f>BZ226/BR226</f>
    </nc>
  </rcc>
  <rcc rId="173" sId="5" odxf="1" dxf="1">
    <nc r="CB226">
      <f>'FY 2016 by Agency'!CF231*Inflator!$E$16</f>
    </nc>
    <odxf/>
    <ndxf/>
  </rcc>
  <rcc rId="174" sId="5">
    <nc r="CC226">
      <f>CB226-BY226</f>
    </nc>
  </rcc>
  <rcc rId="175" sId="5">
    <nc r="CD226">
      <f>CC226/BY226</f>
    </nc>
  </rcc>
  <rcc rId="176" sId="5" odxf="1" dxf="1">
    <nc r="CE226">
      <f>'FY 2016 by Agency'!CK231*Inflator!$E$17</f>
    </nc>
    <odxf/>
    <ndxf/>
  </rcc>
  <rcc rId="177" sId="5">
    <nc r="CF226">
      <f>CE226-CB226</f>
    </nc>
  </rcc>
  <rcc rId="178" sId="5">
    <nc r="CG226">
      <f>CF226/CB226</f>
    </nc>
  </rcc>
  <rcc rId="179" sId="5" odxf="1" dxf="1">
    <nc r="CH226">
      <f>'FY 2016 by Agency'!CN231*Inflator!$E$18</f>
    </nc>
    <odxf/>
    <ndxf/>
  </rcc>
  <rcc rId="180" sId="5" odxf="1" dxf="1">
    <nc r="CI226">
      <f>CH226-CE226</f>
    </nc>
    <odxf/>
    <ndxf/>
  </rcc>
  <rcc rId="181" sId="5" odxf="1" dxf="1">
    <nc r="CJ226">
      <f>CI226/CE226</f>
    </nc>
    <odxf/>
    <ndxf/>
  </rcc>
  <rcc rId="182" sId="5">
    <oc r="CB5" t="inlineStr">
      <is>
        <t>Approved</t>
      </is>
    </oc>
    <nc r="CB5" t="inlineStr">
      <is>
        <t>actual</t>
      </is>
    </nc>
  </rcc>
</revisions>
</file>

<file path=xl/revisions/revisionLog1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83" sId="4" numFmtId="11">
    <oc r="CF136">
      <f>CD136+CE136</f>
    </oc>
    <nc r="CF136">
      <v>86052</v>
    </nc>
  </rcc>
  <rcc rId="184" sId="4" odxf="1" dxf="1" numFmtId="11">
    <nc r="CN136">
      <v>93805</v>
    </nc>
    <odxf>
      <numFmt numFmtId="0" formatCode="General"/>
    </odxf>
    <ndxf>
      <numFmt numFmtId="10" formatCode="&quot;$&quot;#,##0_);[Red]\(&quot;$&quot;#,##0\)"/>
    </ndxf>
  </rcc>
  <rcc rId="185" sId="4" numFmtId="11">
    <oc r="CF138">
      <f>CD138+CE138</f>
    </oc>
    <nc r="CF138">
      <v>820</v>
    </nc>
  </rcc>
  <rcc rId="186" sId="4" odxf="1" dxf="1" numFmtId="11">
    <nc r="CN138">
      <v>1076</v>
    </nc>
    <odxf>
      <numFmt numFmtId="0" formatCode="General"/>
    </odxf>
    <ndxf>
      <numFmt numFmtId="10" formatCode="&quot;$&quot;#,##0_);[Red]\(&quot;$&quot;#,##0\)"/>
    </ndxf>
  </rcc>
  <rcc rId="187" sId="4" odxf="1" dxf="1" numFmtId="11">
    <nc r="CN137">
      <v>0</v>
    </nc>
    <ndxf>
      <numFmt numFmtId="10" formatCode="&quot;$&quot;#,##0_);[Red]\(&quot;$&quot;#,##0\)"/>
    </ndxf>
  </rcc>
  <rcc rId="188" sId="4" numFmtId="11">
    <nc r="CI137">
      <v>0</v>
    </nc>
  </rcc>
  <rcc rId="189" sId="4" numFmtId="11">
    <oc r="CF133">
      <f>CD133+CE133</f>
    </oc>
    <nc r="CF133">
      <v>14935</v>
    </nc>
  </rcc>
  <rcc rId="190" sId="4" numFmtId="11">
    <oc r="CI133">
      <v>14803</v>
    </oc>
    <nc r="CI133">
      <v>15803</v>
    </nc>
  </rcc>
  <rcc rId="191" sId="4" odxf="1" dxf="1" numFmtId="11">
    <nc r="CN133">
      <v>15196</v>
    </nc>
    <odxf>
      <numFmt numFmtId="0" formatCode="General"/>
    </odxf>
    <ndxf>
      <numFmt numFmtId="10" formatCode="&quot;$&quot;#,##0_);[Red]\(&quot;$&quot;#,##0\)"/>
    </ndxf>
  </rcc>
</revisions>
</file>

<file path=xl/revisions/revisionLog1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92" sId="5">
    <oc r="CE227">
      <f>'FY 2016 by Agency'!CK231*Inflator!$E$17</f>
    </oc>
    <nc r="CE227">
      <f>'FY 2016 by Agency'!CK232*Inflator!$E$17</f>
    </nc>
  </rcc>
  <rcc rId="193" sId="5">
    <oc r="CH227">
      <f>'FY 2016 by Agency'!CN226*Inflator!$E$18</f>
    </oc>
    <nc r="CH227">
      <f>'FY 2016 by Agency'!CN232*Inflator!$E$18</f>
    </nc>
  </rcc>
  <rfmt sheetId="5" sqref="CH202:CH227">
    <dxf>
      <numFmt numFmtId="165" formatCode="&quot;$&quot;#,##0"/>
    </dxf>
  </rfmt>
  <rcv guid="{AEFEB150-9213-45F5-A178-7AC71E46DB11}" action="delete"/>
  <rcv guid="{AEFEB150-9213-45F5-A178-7AC71E46DB11}" action="add"/>
</revisions>
</file>

<file path=xl/revisions/revisionLog1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94" sId="4">
    <oc r="CM139">
      <f>CL139/CF139</f>
    </oc>
    <nc r="CM139">
      <f>CL139/CF139</f>
    </nc>
  </rcc>
  <rcc rId="195" sId="4" numFmtId="11">
    <oc r="CF90">
      <f>CD90+CE90</f>
    </oc>
    <nc r="CF90">
      <v>495776</v>
    </nc>
  </rcc>
  <rcc rId="196" sId="4" odxf="1" dxf="1" numFmtId="11">
    <nc r="CN90">
      <v>510567</v>
    </nc>
    <odxf>
      <numFmt numFmtId="0" formatCode="General"/>
    </odxf>
    <ndxf>
      <numFmt numFmtId="10" formatCode="&quot;$&quot;#,##0_);[Red]\(&quot;$&quot;#,##0\)"/>
    </ndxf>
  </rcc>
  <rcc rId="197" sId="4" numFmtId="11">
    <oc r="CF91">
      <f>CD91+CE91</f>
    </oc>
    <nc r="CF91">
      <v>216804</v>
    </nc>
  </rcc>
  <rcc rId="198" sId="4" odxf="1" dxf="1" numFmtId="11">
    <nc r="CN91">
      <v>234143</v>
    </nc>
    <odxf>
      <numFmt numFmtId="0" formatCode="General"/>
    </odxf>
    <ndxf>
      <numFmt numFmtId="10" formatCode="&quot;$&quot;#,##0_);[Red]\(&quot;$&quot;#,##0\)"/>
    </ndxf>
  </rcc>
  <rcc rId="199" sId="4" numFmtId="11">
    <oc r="CF92">
      <f>CD92+CE92</f>
    </oc>
    <nc r="CF92">
      <v>109199</v>
    </nc>
  </rcc>
  <rcc rId="200" sId="4" odxf="1" dxf="1" numFmtId="11">
    <nc r="CN92">
      <v>136115</v>
    </nc>
    <odxf>
      <numFmt numFmtId="0" formatCode="General"/>
    </odxf>
    <ndxf>
      <numFmt numFmtId="10" formatCode="&quot;$&quot;#,##0_);[Red]\(&quot;$&quot;#,##0\)"/>
    </ndxf>
  </rcc>
  <rcc rId="201" sId="4" numFmtId="11">
    <oc r="CF93">
      <f>CD93+CE93</f>
    </oc>
    <nc r="CF93">
      <v>135313</v>
    </nc>
  </rcc>
  <rcc rId="202" sId="4" odxf="1" dxf="1" numFmtId="11">
    <nc r="CN93">
      <v>152020</v>
    </nc>
    <odxf>
      <numFmt numFmtId="0" formatCode="General"/>
    </odxf>
    <ndxf>
      <numFmt numFmtId="10" formatCode="&quot;$&quot;#,##0_);[Red]\(&quot;$&quot;#,##0\)"/>
    </ndxf>
  </rcc>
  <rcc rId="203" sId="4" numFmtId="11">
    <oc r="CF94">
      <f>CD94+CE94</f>
    </oc>
    <nc r="CF94">
      <v>3898</v>
    </nc>
  </rcc>
  <rcc rId="204" sId="4" odxf="1" dxf="1" numFmtId="11">
    <nc r="CN94">
      <v>5026</v>
    </nc>
    <odxf>
      <numFmt numFmtId="0" formatCode="General"/>
    </odxf>
    <ndxf>
      <numFmt numFmtId="10" formatCode="&quot;$&quot;#,##0_);[Red]\(&quot;$&quot;#,##0\)"/>
    </ndxf>
  </rcc>
  <rcc rId="205" sId="4" numFmtId="11">
    <oc r="CF95">
      <f>CD95+CE95</f>
    </oc>
    <nc r="CF95">
      <v>2067</v>
    </nc>
  </rcc>
  <rcc rId="206" sId="4" odxf="1" dxf="1" numFmtId="11">
    <nc r="CN95">
      <v>4552</v>
    </nc>
    <odxf>
      <numFmt numFmtId="0" formatCode="General"/>
    </odxf>
    <ndxf>
      <numFmt numFmtId="10" formatCode="&quot;$&quot;#,##0_);[Red]\(&quot;$&quot;#,##0\)"/>
    </ndxf>
  </rcc>
  <rcc rId="207" sId="4" numFmtId="11">
    <oc r="CI97">
      <v>295</v>
    </oc>
    <nc r="CI97">
      <v>0</v>
    </nc>
  </rcc>
  <rcc rId="208" sId="4" odxf="1" dxf="1" numFmtId="11">
    <nc r="CN97">
      <v>0</v>
    </nc>
    <odxf>
      <numFmt numFmtId="0" formatCode="General"/>
    </odxf>
    <ndxf>
      <numFmt numFmtId="10" formatCode="&quot;$&quot;#,##0_);[Red]\(&quot;$&quot;#,##0\)"/>
    </ndxf>
  </rcc>
  <rcc rId="209" sId="4" numFmtId="11">
    <oc r="CF98">
      <f>CD98+CE98</f>
    </oc>
    <nc r="CF98">
      <v>58</v>
    </nc>
  </rcc>
  <rcc rId="210" sId="4" odxf="1" dxf="1" numFmtId="11">
    <nc r="CN98">
      <v>0</v>
    </nc>
    <odxf>
      <numFmt numFmtId="0" formatCode="General"/>
    </odxf>
    <ndxf>
      <numFmt numFmtId="10" formatCode="&quot;$&quot;#,##0_);[Red]\(&quot;$&quot;#,##0\)"/>
    </ndxf>
  </rcc>
  <rcc rId="211" sId="4" numFmtId="11">
    <oc r="CF99">
      <f>CD99+CE99</f>
    </oc>
    <nc r="CF99">
      <v>2080</v>
    </nc>
  </rcc>
  <rcc rId="212" sId="4" odxf="1" dxf="1" numFmtId="11">
    <nc r="CN99">
      <v>2292</v>
    </nc>
    <odxf>
      <numFmt numFmtId="0" formatCode="General"/>
    </odxf>
    <ndxf>
      <numFmt numFmtId="10" formatCode="&quot;$&quot;#,##0_);[Red]\(&quot;$&quot;#,##0\)"/>
    </ndxf>
  </rcc>
  <rcc rId="213" sId="4" numFmtId="11">
    <oc r="CF100">
      <f>CD100+CE100</f>
    </oc>
    <nc r="CF100">
      <v>1267</v>
    </nc>
  </rcc>
  <rcc rId="214" sId="4" odxf="1" dxf="1" numFmtId="11">
    <nc r="CN100">
      <v>1526</v>
    </nc>
    <odxf>
      <numFmt numFmtId="0" formatCode="General"/>
    </odxf>
    <ndxf>
      <numFmt numFmtId="10" formatCode="&quot;$&quot;#,##0_);[Red]\(&quot;$&quot;#,##0\)"/>
    </ndxf>
  </rcc>
</revisions>
</file>

<file path=xl/revisions/revisionLog1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4" sqref="CN207:CN230">
    <dxf>
      <numFmt numFmtId="165" formatCode="&quot;$&quot;#,##0"/>
    </dxf>
  </rfmt>
  <rcc rId="215" sId="4">
    <nc r="CQ209" t="inlineStr">
      <is>
        <t>this was shifted to Repayment of Loans and Interest</t>
      </is>
    </nc>
  </rcc>
  <rcc rId="216" sId="4" odxf="1" dxf="1">
    <oc r="CP232">
      <f>CO232/CK232</f>
    </oc>
    <nc r="CP232">
      <f>CO232/CK232</f>
    </nc>
    <odxf>
      <font>
        <b/>
        <sz val="11"/>
        <name val="Calibri"/>
        <scheme val="minor"/>
      </font>
      <numFmt numFmtId="165" formatCode="&quot;$&quot;#,##0"/>
    </odxf>
    <ndxf>
      <font>
        <b val="0"/>
        <sz val="11"/>
        <name val="Calibri"/>
        <scheme val="minor"/>
      </font>
      <numFmt numFmtId="164" formatCode="0.0%"/>
    </ndxf>
  </rcc>
</revisions>
</file>

<file path=xl/revisions/revisionLog1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17" sId="4" numFmtId="11">
    <oc r="CF101">
      <f>CD101+CE101</f>
    </oc>
    <nc r="CF101">
      <v>8392</v>
    </nc>
  </rcc>
  <rcc rId="218" sId="4" odxf="1" dxf="1" numFmtId="11">
    <nc r="CN101">
      <v>10501</v>
    </nc>
    <odxf>
      <numFmt numFmtId="0" formatCode="General"/>
    </odxf>
    <ndxf>
      <numFmt numFmtId="10" formatCode="&quot;$&quot;#,##0_);[Red]\(&quot;$&quot;#,##0\)"/>
    </ndxf>
  </rcc>
  <rcc rId="219" sId="4" numFmtId="11">
    <oc r="CF102">
      <f>CD102+CE102</f>
    </oc>
    <nc r="CF102">
      <v>7183</v>
    </nc>
  </rcc>
  <rcc rId="220" sId="4" odxf="1" dxf="1" numFmtId="11">
    <nc r="CN102">
      <v>8644</v>
    </nc>
    <odxf>
      <numFmt numFmtId="0" formatCode="General"/>
    </odxf>
    <ndxf>
      <numFmt numFmtId="10" formatCode="&quot;$&quot;#,##0_);[Red]\(&quot;$&quot;#,##0\)"/>
    </ndxf>
  </rcc>
  <rcc rId="221" sId="4" numFmtId="11">
    <nc r="CI103">
      <v>0</v>
    </nc>
  </rcc>
  <rcc rId="222" sId="4" odxf="1" dxf="1" numFmtId="11">
    <nc r="CN103">
      <v>231</v>
    </nc>
    <odxf>
      <numFmt numFmtId="0" formatCode="General"/>
    </odxf>
    <ndxf>
      <numFmt numFmtId="10" formatCode="&quot;$&quot;#,##0_);[Red]\(&quot;$&quot;#,##0\)"/>
    </ndxf>
  </rcc>
  <rcc rId="223" sId="4" numFmtId="11">
    <oc r="CF104">
      <f>CD104+CE104</f>
    </oc>
    <nc r="CF104">
      <v>434</v>
    </nc>
  </rcc>
  <rcc rId="224" sId="4" odxf="1" dxf="1" numFmtId="11">
    <nc r="CN104">
      <v>539</v>
    </nc>
    <odxf>
      <numFmt numFmtId="0" formatCode="General"/>
    </odxf>
    <ndxf>
      <numFmt numFmtId="10" formatCode="&quot;$&quot;#,##0_);[Red]\(&quot;$&quot;#,##0\)"/>
    </ndxf>
  </rcc>
  <rcc rId="225" sId="4" numFmtId="11">
    <nc r="CI105">
      <v>0</v>
    </nc>
  </rcc>
  <rfmt sheetId="4" sqref="CN105" start="0" length="0">
    <dxf>
      <numFmt numFmtId="10" formatCode="&quot;$&quot;#,##0_);[Red]\(&quot;$&quot;#,##0\)"/>
    </dxf>
  </rfmt>
  <rcc rId="226" sId="4" numFmtId="11">
    <oc r="CF112">
      <f>CD112+CE112</f>
    </oc>
    <nc r="CF112">
      <v>11856</v>
    </nc>
  </rcc>
  <rcc rId="227" sId="4" odxf="1" dxf="1" numFmtId="11">
    <nc r="CN112">
      <v>14614</v>
    </nc>
    <odxf>
      <numFmt numFmtId="0" formatCode="General"/>
    </odxf>
    <ndxf>
      <numFmt numFmtId="10" formatCode="&quot;$&quot;#,##0_);[Red]\(&quot;$&quot;#,##0\)"/>
    </ndxf>
  </rcc>
  <rcc rId="228" sId="4" numFmtId="11">
    <nc r="CN105">
      <v>0</v>
    </nc>
  </rcc>
  <rcc rId="229" sId="4" numFmtId="11">
    <nc r="CI107">
      <v>0</v>
    </nc>
  </rcc>
  <rcc rId="230" sId="4" odxf="1" dxf="1" numFmtId="11">
    <nc r="CN107">
      <v>19240</v>
    </nc>
    <odxf>
      <numFmt numFmtId="0" formatCode="General"/>
    </odxf>
    <ndxf>
      <numFmt numFmtId="10" formatCode="&quot;$&quot;#,##0_);[Red]\(&quot;$&quot;#,##0\)"/>
    </ndxf>
  </rcc>
  <rcc rId="231" sId="4" numFmtId="11">
    <oc r="CF109">
      <f>CD109+CE109</f>
    </oc>
    <nc r="CF109">
      <v>37792</v>
    </nc>
  </rcc>
  <rcc rId="232" sId="4" odxf="1" dxf="1" numFmtId="11">
    <nc r="CN109">
      <v>45168</v>
    </nc>
    <odxf>
      <numFmt numFmtId="0" formatCode="General"/>
    </odxf>
    <ndxf>
      <numFmt numFmtId="10" formatCode="&quot;$&quot;#,##0_);[Red]\(&quot;$&quot;#,##0\)"/>
    </ndxf>
  </rcc>
  <rcc rId="233" sId="4" numFmtId="11">
    <oc r="CF111">
      <f>CD111+CE111</f>
    </oc>
    <nc r="CF111">
      <v>18348</v>
    </nc>
  </rcc>
  <rcc rId="234" sId="4" odxf="1" dxf="1" numFmtId="11">
    <nc r="CN111">
      <v>0</v>
    </nc>
    <odxf>
      <numFmt numFmtId="0" formatCode="General"/>
    </odxf>
    <ndxf>
      <numFmt numFmtId="10" formatCode="&quot;$&quot;#,##0_);[Red]\(&quot;$&quot;#,##0\)"/>
    </ndxf>
  </rcc>
</revisions>
</file>

<file path=xl/revisions/revisionLog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v guid="{AEFEB150-9213-45F5-A178-7AC71E46DB11}" action="delete"/>
  <rcv guid="{AEFEB150-9213-45F5-A178-7AC71E46DB11}" action="add"/>
</revisions>
</file>

<file path=xl/revisions/revisionLog2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35" sId="4" numFmtId="11">
    <oc r="CF7">
      <f>CD7+CE7</f>
    </oc>
    <nc r="CF7">
      <v>19745</v>
    </nc>
  </rcc>
  <rfmt sheetId="4" sqref="CN7" start="0" length="0">
    <dxf>
      <font>
        <sz val="10"/>
        <color auto="1"/>
        <name val="Arial"/>
        <scheme val="none"/>
      </font>
    </dxf>
  </rfmt>
  <rfmt sheetId="4" sqref="CN7" start="0" length="0">
    <dxf>
      <numFmt numFmtId="3" formatCode="#,##0"/>
    </dxf>
  </rfmt>
  <rcc rId="236" sId="4" xfDxf="1" dxf="1" numFmtId="4">
    <nc r="CN7">
      <v>22321</v>
    </nc>
    <ndxf>
      <numFmt numFmtId="3" formatCode="#,##0"/>
    </ndxf>
  </rcc>
  <rfmt sheetId="4" sqref="CF8" start="0" length="0">
    <dxf>
      <font>
        <sz val="10"/>
        <color auto="1"/>
        <name val="Arial"/>
        <scheme val="none"/>
      </font>
      <numFmt numFmtId="0" formatCode="General"/>
    </dxf>
  </rfmt>
  <rfmt sheetId="4" sqref="CF8" start="0" length="0">
    <dxf>
      <numFmt numFmtId="3" formatCode="#,##0"/>
    </dxf>
  </rfmt>
  <rcc rId="237" sId="4" xfDxf="1" dxf="1" numFmtId="4">
    <oc r="CF8">
      <f>CD8+CE8</f>
    </oc>
    <nc r="CF8">
      <v>3763</v>
    </nc>
    <ndxf>
      <numFmt numFmtId="3" formatCode="#,##0"/>
    </ndxf>
  </rcc>
  <rfmt sheetId="4" sqref="CN8" start="0" length="0">
    <dxf>
      <font>
        <sz val="10"/>
        <color auto="1"/>
        <name val="Arial"/>
        <scheme val="none"/>
      </font>
    </dxf>
  </rfmt>
  <rfmt sheetId="4" sqref="CN8" start="0" length="0">
    <dxf>
      <numFmt numFmtId="3" formatCode="#,##0"/>
    </dxf>
  </rfmt>
  <rcc rId="238" sId="4" xfDxf="1" dxf="1" numFmtId="4">
    <nc r="CN8">
      <v>4340</v>
    </nc>
    <ndxf>
      <numFmt numFmtId="3" formatCode="#,##0"/>
    </ndxf>
  </rcc>
  <rcc rId="239" sId="4" numFmtId="11">
    <nc r="CK8">
      <v>4241</v>
    </nc>
  </rcc>
  <rfmt sheetId="4" sqref="CF9" start="0" length="0">
    <dxf>
      <font>
        <sz val="10"/>
        <color auto="1"/>
        <name val="Arial"/>
        <scheme val="none"/>
      </font>
      <numFmt numFmtId="0" formatCode="General"/>
    </dxf>
  </rfmt>
  <rcc rId="240" sId="4" xfDxf="1" dxf="1">
    <oc r="CF9">
      <f>CD9+CE9</f>
    </oc>
    <nc r="CF9">
      <v>861</v>
    </nc>
  </rcc>
  <rfmt sheetId="4" sqref="CN9" start="0" length="0">
    <dxf>
      <font>
        <sz val="10"/>
        <color auto="1"/>
        <name val="Arial"/>
        <scheme val="none"/>
      </font>
    </dxf>
  </rfmt>
  <rcc rId="241" sId="4" xfDxf="1" dxf="1">
    <nc r="CN9">
      <v>927</v>
    </nc>
  </rcc>
  <rcc rId="242" sId="4">
    <nc r="CK7">
      <f>CI7</f>
    </nc>
  </rcc>
  <rcc rId="243" sId="4" numFmtId="11">
    <nc r="CK9">
      <v>924</v>
    </nc>
  </rcc>
  <rfmt sheetId="4" sqref="CF43" start="0" length="0">
    <dxf>
      <font>
        <sz val="10"/>
        <color auto="1"/>
        <name val="Arial"/>
        <scheme val="none"/>
      </font>
      <numFmt numFmtId="0" formatCode="General"/>
    </dxf>
  </rfmt>
  <rcc rId="244" sId="4" xfDxf="1" dxf="1">
    <oc r="CF43">
      <f>CD43+CE43</f>
    </oc>
    <nc r="CF43">
      <v>44</v>
    </nc>
  </rcc>
  <rcc rId="245" sId="4" numFmtId="11">
    <nc r="CK43">
      <v>50</v>
    </nc>
  </rcc>
  <rfmt sheetId="4" sqref="CN43" start="0" length="0">
    <dxf>
      <font>
        <i val="0"/>
        <sz val="10"/>
        <color auto="1"/>
        <name val="Arial"/>
        <scheme val="none"/>
      </font>
    </dxf>
  </rfmt>
  <rcc rId="246" sId="4" xfDxf="1" dxf="1">
    <nc r="CN43">
      <v>50</v>
    </nc>
  </rcc>
  <rfmt sheetId="4" sqref="CF10" start="0" length="0">
    <dxf>
      <font>
        <sz val="10"/>
        <color auto="1"/>
        <name val="Arial"/>
        <scheme val="none"/>
      </font>
      <numFmt numFmtId="0" formatCode="General"/>
    </dxf>
  </rfmt>
  <rfmt sheetId="4" sqref="CF10" start="0" length="0">
    <dxf>
      <numFmt numFmtId="3" formatCode="#,##0"/>
    </dxf>
  </rfmt>
  <rcc rId="247" sId="4" xfDxf="1" dxf="1" numFmtId="4">
    <oc r="CF10">
      <f>CD10+CE10</f>
    </oc>
    <nc r="CF10">
      <v>8283</v>
    </nc>
    <ndxf>
      <numFmt numFmtId="3" formatCode="#,##0"/>
    </ndxf>
  </rcc>
  <rcc rId="248" sId="4">
    <nc r="CK10">
      <f>(9322)</f>
    </nc>
  </rcc>
  <rfmt sheetId="4" sqref="CN11" start="0" length="0">
    <dxf>
      <font>
        <sz val="10"/>
        <color auto="1"/>
        <name val="Arial"/>
        <scheme val="none"/>
      </font>
    </dxf>
  </rfmt>
  <rfmt sheetId="4" sqref="CN11" start="0" length="0">
    <dxf>
      <numFmt numFmtId="3" formatCode="#,##0"/>
    </dxf>
  </rfmt>
  <rfmt sheetId="4" xfDxf="1" sqref="CN11" start="0" length="0">
    <dxf>
      <numFmt numFmtId="3" formatCode="#,##0"/>
    </dxf>
  </rfmt>
  <rcc rId="249" sId="4" odxf="1" dxf="1" numFmtId="4">
    <nc r="CN10">
      <v>7745</v>
    </nc>
    <odxf>
      <font>
        <sz val="11"/>
        <name val="Calibri"/>
        <scheme val="minor"/>
      </font>
      <numFmt numFmtId="0" formatCode="General"/>
    </odxf>
    <ndxf>
      <font>
        <sz val="10"/>
        <color auto="1"/>
        <name val="Arial"/>
        <scheme val="none"/>
      </font>
      <numFmt numFmtId="3" formatCode="#,##0"/>
    </ndxf>
  </rcc>
  <rcc rId="250" sId="7">
    <nc r="A3" t="inlineStr">
      <is>
        <t>Office of the Mayor</t>
      </is>
    </nc>
  </rcc>
  <rcc rId="251" sId="7">
    <nc r="B3">
      <v>662</v>
    </nc>
  </rcc>
  <rcc rId="252" sId="7">
    <nc r="B2" t="inlineStr">
      <is>
        <t>AMT</t>
      </is>
    </nc>
  </rcc>
  <rcc rId="253" sId="7">
    <nc r="C2" t="inlineStr">
      <is>
        <t>Reason</t>
      </is>
    </nc>
  </rcc>
  <rcc rId="254" sId="7">
    <nc r="A4" t="inlineStr">
      <is>
        <t xml:space="preserve">Office of the Mayor </t>
      </is>
    </nc>
  </rcc>
  <rfmt sheetId="7" sqref="K5" start="0" length="0">
    <dxf>
      <font>
        <sz val="10"/>
        <color auto="1"/>
        <name val="Arial"/>
        <scheme val="none"/>
      </font>
    </dxf>
  </rfmt>
  <rfmt sheetId="7" sqref="K5" start="0" length="0">
    <dxf>
      <numFmt numFmtId="10" formatCode="&quot;$&quot;#,##0_);[Red]\(&quot;$&quot;#,##0\)"/>
    </dxf>
  </rfmt>
  <rfmt sheetId="7" xfDxf="1" sqref="K5" start="0" length="0">
    <dxf>
      <numFmt numFmtId="10" formatCode="&quot;$&quot;#,##0_);[Red]\(&quot;$&quot;#,##0\)"/>
    </dxf>
  </rfmt>
  <rfmt sheetId="7" sqref="K6" start="0" length="0">
    <dxf>
      <font>
        <sz val="10"/>
        <color auto="1"/>
        <name val="Arial"/>
        <scheme val="none"/>
      </font>
    </dxf>
  </rfmt>
  <rfmt sheetId="7" sqref="K6" start="0" length="0">
    <dxf>
      <numFmt numFmtId="10" formatCode="&quot;$&quot;#,##0_);[Red]\(&quot;$&quot;#,##0\)"/>
    </dxf>
  </rfmt>
  <rfmt sheetId="7" xfDxf="1" sqref="K6" start="0" length="0">
    <dxf>
      <numFmt numFmtId="10" formatCode="&quot;$&quot;#,##0_);[Red]\(&quot;$&quot;#,##0\)"/>
    </dxf>
  </rfmt>
  <rfmt sheetId="7" sqref="K7" start="0" length="0">
    <dxf>
      <numFmt numFmtId="10" formatCode="&quot;$&quot;#,##0_);[Red]\(&quot;$&quot;#,##0\)"/>
    </dxf>
  </rfmt>
  <rfmt sheetId="7" sqref="B4" start="0" length="0">
    <dxf>
      <numFmt numFmtId="3" formatCode="#,##0"/>
    </dxf>
  </rfmt>
  <rcc rId="255" sId="7" numFmtId="4">
    <nc r="B4">
      <v>2254</v>
    </nc>
  </rcc>
  <rfmt sheetId="7" sqref="B4">
    <dxf>
      <alignment horizontal="right" readingOrder="0"/>
    </dxf>
  </rfmt>
  <rcc rId="256" sId="7">
    <nc r="C3" t="inlineStr">
      <is>
        <t>For the transfer in from the Office of the Senior Advisor</t>
      </is>
    </nc>
  </rcc>
  <rcc rId="257" sId="7">
    <nc r="C4" t="inlineStr">
      <is>
        <t>Transfer out of Office of Policy and Legislative Affairs to OSA and transfer out of employees of Office of Budget and Finance to Office of City Admin</t>
      </is>
    </nc>
  </rcc>
  <rcc rId="258" sId="5">
    <oc r="CE43">
      <f>'FY 2016 by Agency'!CK43*Inflator!$E$17</f>
    </oc>
    <nc r="CE43">
      <f>'FY 2016 by Agency'!CK44*Inflator!$E$17</f>
    </nc>
  </rcc>
  <rcc rId="259" sId="5">
    <oc r="CH43">
      <f>'FY 2016 by Agency'!CN43*Inflator!$E$18</f>
    </oc>
    <nc r="CH43">
      <f>'FY 2016 by Agency'!CN44*Inflator!$E$18</f>
    </nc>
  </rcc>
  <rrc rId="260" sId="5" ref="A44:XFD44" action="insertRow">
    <undo index="4" exp="area" ref3D="1" dr="$A$232:$XFD$246" dn="Z_F784130D_F647_4ABA_8943_C79CA5B0FDC4_.wvu.Rows" sId="5"/>
    <undo index="2" exp="area" ref3D="1" dr="$A$168:$XFD$168" dn="Z_F784130D_F647_4ABA_8943_C79CA5B0FDC4_.wvu.Rows" sId="5"/>
    <undo index="2" exp="area" ref3D="1" dr="$AZ$1:$BH$1048576" dn="Z_F784130D_F647_4ABA_8943_C79CA5B0FDC4_.wvu.Cols" sId="5"/>
    <undo index="1" exp="area" ref3D="1" dr="$AJ$1:$AM$1048576" dn="Z_F784130D_F647_4ABA_8943_C79CA5B0FDC4_.wvu.Cols" sId="5"/>
    <undo index="10" exp="area" ref3D="1" dr="$A$232:$XFD$246" dn="Z_E81D05A4_5B21_42D3_A8D3_906ABCABC0F4_.wvu.Rows" sId="5"/>
    <undo index="8" exp="area" ref3D="1" dr="$A$168:$XFD$168" dn="Z_E81D05A4_5B21_42D3_A8D3_906ABCABC0F4_.wvu.Rows" sId="5"/>
    <undo index="6" exp="area" ref3D="1" dr="$A$161:$XFD$161" dn="Z_E81D05A4_5B21_42D3_A8D3_906ABCABC0F4_.wvu.Rows" sId="5"/>
    <undo index="4" exp="area" ref3D="1" dr="$BO$1:$BT$1048576" dn="Z_E81D05A4_5B21_42D3_A8D3_906ABCABC0F4_.wvu.Cols" sId="5"/>
    <undo index="2" exp="area" ref3D="1" dr="$AI$1:$BK$1048576" dn="Z_E81D05A4_5B21_42D3_A8D3_906ABCABC0F4_.wvu.Cols" sId="5"/>
    <undo index="1" exp="area" ref3D="1" dr="$AD$1:$AE$1048576" dn="Z_E81D05A4_5B21_42D3_A8D3_906ABCABC0F4_.wvu.Cols" sId="5"/>
    <undo index="2" exp="area" ref3D="1" dr="$A$232:$XFD$246" dn="Z_E44F5FE1_54FC_4AB3_84F9_7D65ACF2DDE7_.wvu.Rows" sId="5"/>
    <undo index="2" exp="area" ref3D="1" dr="$BO$1:$BT$1048576" dn="Z_E44F5FE1_54FC_4AB3_84F9_7D65ACF2DDE7_.wvu.Cols" sId="5"/>
    <undo index="1" exp="area" ref3D="1" dr="$AI$1:$BK$1048576" dn="Z_E44F5FE1_54FC_4AB3_84F9_7D65ACF2DDE7_.wvu.Cols" sId="5"/>
    <undo index="2" exp="area" ref3D="1" dr="$A$232:$XFD$246" dn="Z_CBA65C9F_528B_4CA5_AFDD_C38CD40775BB_.wvu.Rows" sId="5"/>
    <undo index="0" exp="area" ref3D="1" dr="$AJ$1:$AM$1048576" dn="Z_CBA65C9F_528B_4CA5_AFDD_C38CD40775BB_.wvu.Cols" sId="5"/>
    <undo index="12" exp="area" ref3D="1" dr="$A$232:$XFD$246" dn="Z_9D4F0482_B164_4671_805A_E0D2D4DD4720_.wvu.Rows" sId="5"/>
    <undo index="10" exp="area" ref3D="1" dr="$A$168:$XFD$168" dn="Z_9D4F0482_B164_4671_805A_E0D2D4DD4720_.wvu.Rows" sId="5"/>
    <undo index="8" exp="area" ref3D="1" dr="$A$161:$XFD$161" dn="Z_9D4F0482_B164_4671_805A_E0D2D4DD4720_.wvu.Rows" sId="5"/>
    <undo index="6" exp="area" ref3D="1" dr="$A$153:$XFD$153" dn="Z_9D4F0482_B164_4671_805A_E0D2D4DD4720_.wvu.Rows" sId="5"/>
    <undo index="2" exp="area" ref3D="1" dr="$AI$1:$BJ$1048576" dn="Z_9D4F0482_B164_4671_805A_E0D2D4DD4720_.wvu.Cols" sId="5"/>
    <undo index="1" exp="area" ref3D="1" dr="$AD$1:$AE$1048576" dn="Z_9D4F0482_B164_4671_805A_E0D2D4DD4720_.wvu.Cols" sId="5"/>
    <undo index="2" exp="area" ref3D="1" dr="$A$232:$XFD$246" dn="Z_94DA13B6_7351_40F3_8CF7_A4211EC439DA_.wvu.Rows" sId="5"/>
    <undo index="4" exp="area" ref3D="1" dr="$AP$1:$AS$1048576" dn="Z_94DA13B6_7351_40F3_8CF7_A4211EC439DA_.wvu.Cols" sId="5"/>
    <undo index="2" exp="area" ref3D="1" dr="$AJ$1:$AM$1048576" dn="Z_94DA13B6_7351_40F3_8CF7_A4211EC439DA_.wvu.Cols" sId="5"/>
    <undo index="1" exp="area" ref3D="1" dr="$V$1:$AB$1048576" dn="Z_94DA13B6_7351_40F3_8CF7_A4211EC439DA_.wvu.Cols" sId="5"/>
    <undo index="2" exp="area" ref3D="1" dr="$A$232:$XFD$246" dn="Z_8F508F4D_4777_42BE_9707_8CB9355F7BDB_.wvu.Rows" sId="5"/>
    <undo index="2" exp="area" ref3D="1" dr="$AJ$1:$AM$1048576" dn="Z_8F508F4D_4777_42BE_9707_8CB9355F7BDB_.wvu.Cols" sId="5"/>
    <undo index="1" exp="area" ref3D="1" dr="$V$1:$AB$1048576" dn="Z_8F508F4D_4777_42BE_9707_8CB9355F7BDB_.wvu.Cols" sId="5"/>
    <undo index="2" exp="area" ref3D="1" dr="$A$232:$XFD$246" dn="Z_7A9890A5_7CC2_466F_AA52_39E8D428DC1C_.wvu.Rows" sId="5"/>
    <undo index="4" exp="area" ref3D="1" dr="$BX$1:$BX$1048576" dn="Z_7A9890A5_7CC2_466F_AA52_39E8D428DC1C_.wvu.Cols" sId="5"/>
    <undo index="2" exp="area" ref3D="1" dr="$AP$1:$AS$1048576" dn="Z_7A9890A5_7CC2_466F_AA52_39E8D428DC1C_.wvu.Cols" sId="5"/>
    <undo index="1" exp="area" ref3D="1" dr="$AJ$1:$AM$1048576" dn="Z_7A9890A5_7CC2_466F_AA52_39E8D428DC1C_.wvu.Cols" sId="5"/>
    <undo index="0" exp="area" ref3D="1" dr="$A$232:$XFD$247" dn="Z_78CA186D_B240_44D5_8A24_D241DE0B0FD9_.wvu.Rows" sId="5"/>
    <undo index="6" exp="area" ref3D="1" dr="$BU$1:$BX$1048576" dn="Z_78CA186D_B240_44D5_8A24_D241DE0B0FD9_.wvu.Cols" sId="5"/>
    <undo index="4" exp="area" ref3D="1" dr="$BO$1:$BQ$1048576" dn="Z_78CA186D_B240_44D5_8A24_D241DE0B0FD9_.wvu.Cols" sId="5"/>
    <undo index="2" exp="area" ref3D="1" dr="$AI$1:$BK$1048576" dn="Z_78CA186D_B240_44D5_8A24_D241DE0B0FD9_.wvu.Cols" sId="5"/>
    <undo index="1" exp="area" ref3D="1" dr="$AD$1:$AE$1048576" dn="Z_78CA186D_B240_44D5_8A24_D241DE0B0FD9_.wvu.Cols" sId="5"/>
    <undo index="0" exp="area" ref3D="1" dr="$A$232:$XFD$247" dn="Z_70E2A0B1_0EA6_43AE_8715_395179465BE5_.wvu.Rows" sId="5"/>
    <undo index="4" exp="area" ref3D="1" dr="$BU$1:$BX$1048576" dn="Z_70E2A0B1_0EA6_43AE_8715_395179465BE5_.wvu.Cols" sId="5"/>
    <undo index="2" exp="area" ref3D="1" dr="$BO$1:$BQ$1048576" dn="Z_70E2A0B1_0EA6_43AE_8715_395179465BE5_.wvu.Cols" sId="5"/>
    <undo index="1" exp="area" ref3D="1" dr="$AI$1:$BK$1048576" dn="Z_70E2A0B1_0EA6_43AE_8715_395179465BE5_.wvu.Cols" sId="5"/>
    <undo index="2" exp="area" ref3D="1" dr="$A$232:$XFD$246" dn="Z_567C3053_2D8E_4705_8DC7_18896C5303CA_.wvu.Rows" sId="5"/>
    <undo index="4" exp="area" ref3D="1" dr="$BX$1:$BX$1048576" dn="Z_567C3053_2D8E_4705_8DC7_18896C5303CA_.wvu.Cols" sId="5"/>
    <undo index="2" exp="area" ref3D="1" dr="$AP$1:$AS$1048576" dn="Z_567C3053_2D8E_4705_8DC7_18896C5303CA_.wvu.Cols" sId="5"/>
    <undo index="1" exp="area" ref3D="1" dr="$AJ$1:$AM$1048576" dn="Z_567C3053_2D8E_4705_8DC7_18896C5303CA_.wvu.Cols" sId="5"/>
    <undo index="0" exp="area" ref3D="1" dr="$A$232:$XFD$247" dn="Z_5102CD51_6323_4C0C_991F_AF8276ECBB13_.wvu.Rows" sId="5"/>
    <undo index="6" exp="area" ref3D="1" dr="$BU$1:$BX$1048576" dn="Z_5102CD51_6323_4C0C_991F_AF8276ECBB13_.wvu.Cols" sId="5"/>
    <undo index="4" exp="area" ref3D="1" dr="$BO$1:$BQ$1048576" dn="Z_5102CD51_6323_4C0C_991F_AF8276ECBB13_.wvu.Cols" sId="5"/>
    <undo index="2" exp="area" ref3D="1" dr="$AI$1:$BK$1048576" dn="Z_5102CD51_6323_4C0C_991F_AF8276ECBB13_.wvu.Cols" sId="5"/>
    <undo index="1" exp="area" ref3D="1" dr="$AD$1:$AE$1048576" dn="Z_5102CD51_6323_4C0C_991F_AF8276ECBB13_.wvu.Cols" sId="5"/>
    <undo index="10" exp="area" ref3D="1" dr="$A$232:$XFD$246" dn="Z_455630F5_40FC_47DB_8AD4_712C20B8FB91_.wvu.Rows" sId="5"/>
    <undo index="8" exp="area" ref3D="1" dr="$A$168:$XFD$168" dn="Z_455630F5_40FC_47DB_8AD4_712C20B8FB91_.wvu.Rows" sId="5"/>
    <undo index="6" exp="area" ref3D="1" dr="$A$161:$XFD$161" dn="Z_455630F5_40FC_47DB_8AD4_712C20B8FB91_.wvu.Rows" sId="5"/>
    <undo index="2" exp="area" ref3D="1" dr="$AI$1:$BK$1048576" dn="Z_455630F5_40FC_47DB_8AD4_712C20B8FB91_.wvu.Cols" sId="5"/>
    <undo index="1" exp="area" ref3D="1" dr="$AD$1:$AE$1048576" dn="Z_455630F5_40FC_47DB_8AD4_712C20B8FB91_.wvu.Cols" sId="5"/>
    <undo index="2" exp="area" ref3D="1" dr="$A$232:$XFD$246" dn="Z_1E5198E1_BA46_4CE0_8628_4F695B0D7A3B_.wvu.Rows" sId="5"/>
    <undo index="0" exp="area" ref3D="1" dr="$A$232:$XFD$247" dn="Z_08B0A6E6_0C62_4331_9E9A_05DFF5B8DF5B_.wvu.Rows" sId="5"/>
    <undo index="6" exp="area" ref3D="1" dr="$BU$1:$BX$1048576" dn="Z_08B0A6E6_0C62_4331_9E9A_05DFF5B8DF5B_.wvu.Cols" sId="5"/>
    <undo index="4" exp="area" ref3D="1" dr="$BO$1:$BQ$1048576" dn="Z_08B0A6E6_0C62_4331_9E9A_05DFF5B8DF5B_.wvu.Cols" sId="5"/>
    <undo index="2" exp="area" ref3D="1" dr="$AI$1:$BK$1048576" dn="Z_08B0A6E6_0C62_4331_9E9A_05DFF5B8DF5B_.wvu.Cols" sId="5"/>
    <undo index="1" exp="area" ref3D="1" dr="$AD$1:$AE$1048576" dn="Z_08B0A6E6_0C62_4331_9E9A_05DFF5B8DF5B_.wvu.Cols" sId="5"/>
  </rrc>
  <rfmt sheetId="5" sqref="A43:XFD43" start="0" length="0">
    <dxf>
      <border>
        <bottom/>
      </border>
    </dxf>
  </rfmt>
  <rfmt sheetId="5" sqref="A44:XFD44" start="0" length="0">
    <dxf>
      <border>
        <bottom style="medium">
          <color indexed="64"/>
        </bottom>
      </border>
    </dxf>
  </rfmt>
  <rfmt sheetId="5" sqref="CB44" start="0" length="0">
    <dxf>
      <border outline="0">
        <bottom/>
      </border>
    </dxf>
  </rfmt>
  <rfmt sheetId="5" sqref="CC44" start="0" length="0">
    <dxf>
      <border outline="0">
        <bottom/>
      </border>
    </dxf>
  </rfmt>
  <rfmt sheetId="5" sqref="CD44" start="0" length="0">
    <dxf>
      <border outline="0">
        <bottom/>
      </border>
    </dxf>
  </rfmt>
  <rfmt sheetId="5" sqref="CE44" start="0" length="0">
    <dxf>
      <border outline="0">
        <bottom/>
      </border>
    </dxf>
  </rfmt>
  <rfmt sheetId="5" sqref="CF44" start="0" length="0">
    <dxf>
      <border outline="0">
        <bottom/>
      </border>
    </dxf>
  </rfmt>
  <rfmt sheetId="5" sqref="CG44" start="0" length="0">
    <dxf>
      <border outline="0">
        <bottom/>
      </border>
    </dxf>
  </rfmt>
  <rfmt sheetId="5" sqref="CH44" start="0" length="0">
    <dxf>
      <border outline="0">
        <bottom/>
      </border>
    </dxf>
  </rfmt>
  <rfmt sheetId="5" sqref="CI44" start="0" length="0">
    <dxf>
      <border outline="0">
        <bottom/>
      </border>
    </dxf>
  </rfmt>
  <rfmt sheetId="5" sqref="CJ44" start="0" length="0">
    <dxf>
      <border outline="0">
        <bottom/>
      </border>
    </dxf>
  </rfmt>
  <rrc rId="261" sId="4" ref="A45:XFD45" action="insertRow">
    <undo index="2" exp="area" ref3D="1" dr="$A$237:$XFD$251" dn="Z_F784130D_F647_4ABA_8943_C79CA5B0FDC4_.wvu.Rows" sId="4"/>
    <undo index="2" exp="area" ref3D="1" dr="$A$237:$XFD$251" dn="Z_E81D05A4_5B21_42D3_A8D3_906ABCABC0F4_.wvu.Rows" sId="4"/>
    <undo index="24" exp="area" ref3D="1" dr="$BM$1:$BQ$1048576" dn="Z_E81D05A4_5B21_42D3_A8D3_906ABCABC0F4_.wvu.Cols" sId="4"/>
    <undo index="22" exp="area" ref3D="1" dr="$BF$1:$BG$1048576" dn="Z_E81D05A4_5B21_42D3_A8D3_906ABCABC0F4_.wvu.Cols" sId="4"/>
    <undo index="20" exp="area" ref3D="1" dr="$AY$1:$AZ$1048576" dn="Z_E81D05A4_5B21_42D3_A8D3_906ABCABC0F4_.wvu.Cols" sId="4"/>
    <undo index="18" exp="area" ref3D="1" dr="$AV$1:$AW$1048576" dn="Z_E81D05A4_5B21_42D3_A8D3_906ABCABC0F4_.wvu.Cols" sId="4"/>
    <undo index="16" exp="area" ref3D="1" dr="$AB$1:$AE$1048576" dn="Z_E81D05A4_5B21_42D3_A8D3_906ABCABC0F4_.wvu.Cols" sId="4"/>
    <undo index="14" exp="area" ref3D="1" dr="$Y$1:$Z$1048576" dn="Z_E81D05A4_5B21_42D3_A8D3_906ABCABC0F4_.wvu.Cols" sId="4"/>
    <undo index="12" exp="area" ref3D="1" dr="$V$1:$W$1048576" dn="Z_E81D05A4_5B21_42D3_A8D3_906ABCABC0F4_.wvu.Cols" sId="4"/>
    <undo index="10" exp="area" ref3D="1" dr="$S$1:$T$1048576" dn="Z_E81D05A4_5B21_42D3_A8D3_906ABCABC0F4_.wvu.Cols" sId="4"/>
    <undo index="8" exp="area" ref3D="1" dr="$P$1:$Q$1048576" dn="Z_E81D05A4_5B21_42D3_A8D3_906ABCABC0F4_.wvu.Cols" sId="4"/>
    <undo index="6" exp="area" ref3D="1" dr="$M$1:$N$1048576" dn="Z_E81D05A4_5B21_42D3_A8D3_906ABCABC0F4_.wvu.Cols" sId="4"/>
    <undo index="4" exp="area" ref3D="1" dr="$J$1:$K$1048576" dn="Z_E81D05A4_5B21_42D3_A8D3_906ABCABC0F4_.wvu.Cols" sId="4"/>
    <undo index="2" exp="area" ref3D="1" dr="$G$1:$H$1048576" dn="Z_E81D05A4_5B21_42D3_A8D3_906ABCABC0F4_.wvu.Cols" sId="4"/>
    <undo index="1" exp="area" ref3D="1" dr="$D$1:$E$1048576" dn="Z_E81D05A4_5B21_42D3_A8D3_906ABCABC0F4_.wvu.Cols" sId="4"/>
    <undo index="2" exp="area" ref3D="1" dr="$A$237:$XFD$251" dn="Z_E44F5FE1_54FC_4AB3_84F9_7D65ACF2DDE7_.wvu.Rows" sId="4"/>
    <undo index="0" exp="area" ref3D="1" dr="$AV$1:$AW$1048576" dn="Z_E44F5FE1_54FC_4AB3_84F9_7D65ACF2DDE7_.wvu.Cols" sId="4"/>
    <undo index="2" exp="area" ref3D="1" dr="$A$237:$XFD$251" dn="Z_CBA65C9F_528B_4CA5_AFDD_C38CD40775BB_.wvu.Rows" sId="4"/>
    <undo index="2" exp="area" ref3D="1" dr="$A$237:$XFD$251" dn="Z_9D4F0482_B164_4671_805A_E0D2D4DD4720_.wvu.Rows" sId="4"/>
    <undo index="0" exp="area" ref3D="1" dr="$AI$1:$AW$1048576" dn="Z_9D4F0482_B164_4671_805A_E0D2D4DD4720_.wvu.Cols" sId="4"/>
    <undo index="2" exp="area" ref3D="1" dr="$A$237:$XFD$251" dn="Z_94DA13B6_7351_40F3_8CF7_A4211EC439DA_.wvu.Rows" sId="4"/>
    <undo index="2" exp="area" ref3D="1" dr="$A$237:$XFD$251" dn="Z_8F508F4D_4777_42BE_9707_8CB9355F7BDB_.wvu.Rows" sId="4"/>
    <undo index="2" exp="area" ref3D="1" dr="$A$237:$XFD$251" dn="Z_7A9890A5_7CC2_466F_AA52_39E8D428DC1C_.wvu.Rows" sId="4"/>
    <undo index="0" exp="area" ref3D="1" dr="$BQ$1:$BQ$1048576" dn="Z_7A9890A5_7CC2_466F_AA52_39E8D428DC1C_.wvu.Cols" sId="4"/>
    <undo index="0" exp="area" ref3D="1" dr="$A$237:$XFD$251" dn="Z_78CA186D_B240_44D5_8A24_D241DE0B0FD9_.wvu.Rows" sId="4"/>
    <undo index="24" exp="area" ref3D="1" dr="$CC$1:$CC$1048576" dn="Z_78CA186D_B240_44D5_8A24_D241DE0B0FD9_.wvu.Cols" sId="4"/>
    <undo index="22" exp="area" ref3D="1" dr="$BF$1:$BW$1048576" dn="Z_78CA186D_B240_44D5_8A24_D241DE0B0FD9_.wvu.Cols" sId="4"/>
    <undo index="20" exp="area" ref3D="1" dr="$BC$1:$BD$1048576" dn="Z_78CA186D_B240_44D5_8A24_D241DE0B0FD9_.wvu.Cols" sId="4"/>
    <undo index="18" exp="area" ref3D="1" dr="$AG$1:$BA$1048576" dn="Z_78CA186D_B240_44D5_8A24_D241DE0B0FD9_.wvu.Cols" sId="4"/>
    <undo index="16" exp="area" ref3D="1" dr="$AB$1:$AE$1048576" dn="Z_78CA186D_B240_44D5_8A24_D241DE0B0FD9_.wvu.Cols" sId="4"/>
    <undo index="14" exp="area" ref3D="1" dr="$Y$1:$Z$1048576" dn="Z_78CA186D_B240_44D5_8A24_D241DE0B0FD9_.wvu.Cols" sId="4"/>
    <undo index="12" exp="area" ref3D="1" dr="$V$1:$W$1048576" dn="Z_78CA186D_B240_44D5_8A24_D241DE0B0FD9_.wvu.Cols" sId="4"/>
    <undo index="10" exp="area" ref3D="1" dr="$S$1:$T$1048576" dn="Z_78CA186D_B240_44D5_8A24_D241DE0B0FD9_.wvu.Cols" sId="4"/>
    <undo index="8" exp="area" ref3D="1" dr="$P$1:$Q$1048576" dn="Z_78CA186D_B240_44D5_8A24_D241DE0B0FD9_.wvu.Cols" sId="4"/>
    <undo index="6" exp="area" ref3D="1" dr="$M$1:$N$1048576" dn="Z_78CA186D_B240_44D5_8A24_D241DE0B0FD9_.wvu.Cols" sId="4"/>
    <undo index="4" exp="area" ref3D="1" dr="$J$1:$K$1048576" dn="Z_78CA186D_B240_44D5_8A24_D241DE0B0FD9_.wvu.Cols" sId="4"/>
    <undo index="2" exp="area" ref3D="1" dr="$G$1:$H$1048576" dn="Z_78CA186D_B240_44D5_8A24_D241DE0B0FD9_.wvu.Cols" sId="4"/>
    <undo index="1" exp="area" ref3D="1" dr="$D$1:$E$1048576" dn="Z_78CA186D_B240_44D5_8A24_D241DE0B0FD9_.wvu.Cols" sId="4"/>
    <undo index="0" exp="area" ref3D="1" dr="$A$237:$XFD$251" dn="Z_70E2A0B1_0EA6_43AE_8715_395179465BE5_.wvu.Rows" sId="4"/>
    <undo index="8" exp="area" ref3D="1" dr="$BF$1:$BW$1048576" dn="Z_70E2A0B1_0EA6_43AE_8715_395179465BE5_.wvu.Cols" sId="4"/>
    <undo index="6" exp="area" ref3D="1" dr="$BC$1:$BD$1048576" dn="Z_70E2A0B1_0EA6_43AE_8715_395179465BE5_.wvu.Cols" sId="4"/>
    <undo index="4" exp="area" ref3D="1" dr="$AG$1:$BA$1048576" dn="Z_70E2A0B1_0EA6_43AE_8715_395179465BE5_.wvu.Cols" sId="4"/>
    <undo index="2" exp="area" ref3D="1" dr="$AB$1:$AE$1048576" dn="Z_70E2A0B1_0EA6_43AE_8715_395179465BE5_.wvu.Cols" sId="4"/>
    <undo index="1" exp="area" ref3D="1" dr="$Y$1:$Z$1048576" dn="Z_70E2A0B1_0EA6_43AE_8715_395179465BE5_.wvu.Cols" sId="4"/>
    <undo index="2" exp="area" ref3D="1" dr="$A$237:$XFD$251" dn="Z_567C3053_2D8E_4705_8DC7_18896C5303CA_.wvu.Rows" sId="4"/>
    <undo index="0" exp="area" ref3D="1" dr="$BQ$1:$BQ$1048576" dn="Z_567C3053_2D8E_4705_8DC7_18896C5303CA_.wvu.Cols" sId="4"/>
    <undo index="0" exp="area" ref3D="1" dr="$A$237:$XFD$251" dn="Z_5102CD51_6323_4C0C_991F_AF8276ECBB13_.wvu.Rows" sId="4"/>
    <undo index="24" exp="area" ref3D="1" dr="$CC$1:$CC$1048576" dn="Z_5102CD51_6323_4C0C_991F_AF8276ECBB13_.wvu.Cols" sId="4"/>
    <undo index="22" exp="area" ref3D="1" dr="$BF$1:$BW$1048576" dn="Z_5102CD51_6323_4C0C_991F_AF8276ECBB13_.wvu.Cols" sId="4"/>
    <undo index="20" exp="area" ref3D="1" dr="$BC$1:$BD$1048576" dn="Z_5102CD51_6323_4C0C_991F_AF8276ECBB13_.wvu.Cols" sId="4"/>
    <undo index="18" exp="area" ref3D="1" dr="$AG$1:$BA$1048576" dn="Z_5102CD51_6323_4C0C_991F_AF8276ECBB13_.wvu.Cols" sId="4"/>
    <undo index="16" exp="area" ref3D="1" dr="$AB$1:$AE$1048576" dn="Z_5102CD51_6323_4C0C_991F_AF8276ECBB13_.wvu.Cols" sId="4"/>
    <undo index="14" exp="area" ref3D="1" dr="$Y$1:$Z$1048576" dn="Z_5102CD51_6323_4C0C_991F_AF8276ECBB13_.wvu.Cols" sId="4"/>
    <undo index="12" exp="area" ref3D="1" dr="$V$1:$W$1048576" dn="Z_5102CD51_6323_4C0C_991F_AF8276ECBB13_.wvu.Cols" sId="4"/>
    <undo index="10" exp="area" ref3D="1" dr="$S$1:$T$1048576" dn="Z_5102CD51_6323_4C0C_991F_AF8276ECBB13_.wvu.Cols" sId="4"/>
    <undo index="8" exp="area" ref3D="1" dr="$P$1:$Q$1048576" dn="Z_5102CD51_6323_4C0C_991F_AF8276ECBB13_.wvu.Cols" sId="4"/>
    <undo index="6" exp="area" ref3D="1" dr="$M$1:$N$1048576" dn="Z_5102CD51_6323_4C0C_991F_AF8276ECBB13_.wvu.Cols" sId="4"/>
    <undo index="4" exp="area" ref3D="1" dr="$J$1:$K$1048576" dn="Z_5102CD51_6323_4C0C_991F_AF8276ECBB13_.wvu.Cols" sId="4"/>
    <undo index="2" exp="area" ref3D="1" dr="$G$1:$H$1048576" dn="Z_5102CD51_6323_4C0C_991F_AF8276ECBB13_.wvu.Cols" sId="4"/>
    <undo index="1" exp="area" ref3D="1" dr="$D$1:$E$1048576" dn="Z_5102CD51_6323_4C0C_991F_AF8276ECBB13_.wvu.Cols" sId="4"/>
    <undo index="2" exp="area" ref3D="1" dr="$A$237:$XFD$251" dn="Z_455630F5_40FC_47DB_8AD4_712C20B8FB91_.wvu.Rows" sId="4"/>
    <undo index="24" exp="area" ref3D="1" dr="$BF$1:$BG$1048576" dn="Z_455630F5_40FC_47DB_8AD4_712C20B8FB91_.wvu.Cols" sId="4"/>
    <undo index="22" exp="area" ref3D="1" dr="$AY$1:$AZ$1048576" dn="Z_455630F5_40FC_47DB_8AD4_712C20B8FB91_.wvu.Cols" sId="4"/>
    <undo index="20" exp="area" ref3D="1" dr="$AV$1:$AW$1048576" dn="Z_455630F5_40FC_47DB_8AD4_712C20B8FB91_.wvu.Cols" sId="4"/>
    <undo index="18" exp="area" ref3D="1" dr="$AG$1:$AO$1048576" dn="Z_455630F5_40FC_47DB_8AD4_712C20B8FB91_.wvu.Cols" sId="4"/>
    <undo index="16" exp="area" ref3D="1" dr="$AB$1:$AE$1048576" dn="Z_455630F5_40FC_47DB_8AD4_712C20B8FB91_.wvu.Cols" sId="4"/>
    <undo index="14" exp="area" ref3D="1" dr="$Y$1:$Z$1048576" dn="Z_455630F5_40FC_47DB_8AD4_712C20B8FB91_.wvu.Cols" sId="4"/>
    <undo index="12" exp="area" ref3D="1" dr="$V$1:$W$1048576" dn="Z_455630F5_40FC_47DB_8AD4_712C20B8FB91_.wvu.Cols" sId="4"/>
    <undo index="10" exp="area" ref3D="1" dr="$S$1:$T$1048576" dn="Z_455630F5_40FC_47DB_8AD4_712C20B8FB91_.wvu.Cols" sId="4"/>
    <undo index="8" exp="area" ref3D="1" dr="$P$1:$Q$1048576" dn="Z_455630F5_40FC_47DB_8AD4_712C20B8FB91_.wvu.Cols" sId="4"/>
    <undo index="6" exp="area" ref3D="1" dr="$M$1:$N$1048576" dn="Z_455630F5_40FC_47DB_8AD4_712C20B8FB91_.wvu.Cols" sId="4"/>
    <undo index="4" exp="area" ref3D="1" dr="$J$1:$K$1048576" dn="Z_455630F5_40FC_47DB_8AD4_712C20B8FB91_.wvu.Cols" sId="4"/>
    <undo index="2" exp="area" ref3D="1" dr="$G$1:$H$1048576" dn="Z_455630F5_40FC_47DB_8AD4_712C20B8FB91_.wvu.Cols" sId="4"/>
    <undo index="1" exp="area" ref3D="1" dr="$D$1:$E$1048576" dn="Z_455630F5_40FC_47DB_8AD4_712C20B8FB91_.wvu.Cols" sId="4"/>
    <undo index="0" exp="area" ref3D="1" dr="$A$237:$XFD$251" dn="Z_34052DE1_5E82_4B7C_8FA6_8E533676FB0A_.wvu.Rows" sId="4"/>
    <undo index="8" exp="area" ref3D="1" dr="$BF$1:$BW$1048576" dn="Z_34052DE1_5E82_4B7C_8FA6_8E533676FB0A_.wvu.Cols" sId="4"/>
    <undo index="6" exp="area" ref3D="1" dr="$BC$1:$BD$1048576" dn="Z_34052DE1_5E82_4B7C_8FA6_8E533676FB0A_.wvu.Cols" sId="4"/>
    <undo index="4" exp="area" ref3D="1" dr="$AG$1:$BA$1048576" dn="Z_34052DE1_5E82_4B7C_8FA6_8E533676FB0A_.wvu.Cols" sId="4"/>
    <undo index="2" exp="area" ref3D="1" dr="$AB$1:$AE$1048576" dn="Z_34052DE1_5E82_4B7C_8FA6_8E533676FB0A_.wvu.Cols" sId="4"/>
    <undo index="1" exp="area" ref3D="1" dr="$Y$1:$Z$1048576" dn="Z_34052DE1_5E82_4B7C_8FA6_8E533676FB0A_.wvu.Cols" sId="4"/>
    <undo index="2" exp="area" ref3D="1" dr="$A$237:$XFD$251" dn="Z_1E5198E1_BA46_4CE0_8628_4F695B0D7A3B_.wvu.Rows" sId="4"/>
    <undo index="0" exp="area" ref3D="1" dr="$A$237:$XFD$251" dn="Z_08B0A6E6_0C62_4331_9E9A_05DFF5B8DF5B_.wvu.Rows" sId="4"/>
    <undo index="24" exp="area" ref3D="1" dr="$CC$1:$CC$1048576" dn="Z_08B0A6E6_0C62_4331_9E9A_05DFF5B8DF5B_.wvu.Cols" sId="4"/>
    <undo index="22" exp="area" ref3D="1" dr="$BF$1:$BW$1048576" dn="Z_08B0A6E6_0C62_4331_9E9A_05DFF5B8DF5B_.wvu.Cols" sId="4"/>
    <undo index="20" exp="area" ref3D="1" dr="$BC$1:$BD$1048576" dn="Z_08B0A6E6_0C62_4331_9E9A_05DFF5B8DF5B_.wvu.Cols" sId="4"/>
    <undo index="18" exp="area" ref3D="1" dr="$AG$1:$BA$1048576" dn="Z_08B0A6E6_0C62_4331_9E9A_05DFF5B8DF5B_.wvu.Cols" sId="4"/>
    <undo index="16" exp="area" ref3D="1" dr="$AB$1:$AE$1048576" dn="Z_08B0A6E6_0C62_4331_9E9A_05DFF5B8DF5B_.wvu.Cols" sId="4"/>
    <undo index="14" exp="area" ref3D="1" dr="$Y$1:$Z$1048576" dn="Z_08B0A6E6_0C62_4331_9E9A_05DFF5B8DF5B_.wvu.Cols" sId="4"/>
    <undo index="12" exp="area" ref3D="1" dr="$V$1:$W$1048576" dn="Z_08B0A6E6_0C62_4331_9E9A_05DFF5B8DF5B_.wvu.Cols" sId="4"/>
    <undo index="10" exp="area" ref3D="1" dr="$S$1:$T$1048576" dn="Z_08B0A6E6_0C62_4331_9E9A_05DFF5B8DF5B_.wvu.Cols" sId="4"/>
    <undo index="8" exp="area" ref3D="1" dr="$P$1:$Q$1048576" dn="Z_08B0A6E6_0C62_4331_9E9A_05DFF5B8DF5B_.wvu.Cols" sId="4"/>
    <undo index="6" exp="area" ref3D="1" dr="$M$1:$N$1048576" dn="Z_08B0A6E6_0C62_4331_9E9A_05DFF5B8DF5B_.wvu.Cols" sId="4"/>
    <undo index="4" exp="area" ref3D="1" dr="$J$1:$K$1048576" dn="Z_08B0A6E6_0C62_4331_9E9A_05DFF5B8DF5B_.wvu.Cols" sId="4"/>
    <undo index="2" exp="area" ref3D="1" dr="$G$1:$H$1048576" dn="Z_08B0A6E6_0C62_4331_9E9A_05DFF5B8DF5B_.wvu.Cols" sId="4"/>
    <undo index="1" exp="area" ref3D="1" dr="$D$1:$E$1048576" dn="Z_08B0A6E6_0C62_4331_9E9A_05DFF5B8DF5B_.wvu.Cols" sId="4"/>
  </rrc>
  <rfmt sheetId="4" sqref="A44:XFD44" start="0" length="0">
    <dxf>
      <border>
        <bottom/>
      </border>
    </dxf>
  </rfmt>
  <rfmt sheetId="4" sqref="A45:XFD45" start="0" length="0">
    <dxf>
      <border>
        <bottom style="medium">
          <color indexed="64"/>
        </bottom>
      </border>
    </dxf>
  </rfmt>
  <rcc rId="262" sId="4">
    <nc r="A45" t="inlineStr">
      <is>
        <t>Mayor's Office of Legal Council</t>
      </is>
    </nc>
  </rcc>
  <rcc rId="263" sId="4" numFmtId="11">
    <nc r="CF45">
      <v>0</v>
    </nc>
  </rcc>
  <rcc rId="264" sId="4" odxf="1" dxf="1" numFmtId="11">
    <nc r="CG45">
      <f>CF45-BZ45</f>
    </nc>
    <ndxf>
      <border outline="0">
        <bottom/>
      </border>
    </ndxf>
  </rcc>
  <rcc rId="265" sId="4" odxf="1" dxf="1">
    <nc r="CH45">
      <f>CG45/BZ45</f>
    </nc>
    <odxf>
      <border outline="0">
        <bottom style="medium">
          <color indexed="64"/>
        </bottom>
      </border>
    </odxf>
    <ndxf>
      <border outline="0">
        <bottom/>
      </border>
    </ndxf>
  </rcc>
  <rfmt sheetId="4" sqref="A45:XFD45" start="0" length="0">
    <dxf>
      <border>
        <bottom/>
      </border>
    </dxf>
  </rfmt>
  <rcc rId="266" sId="4" numFmtId="11">
    <nc r="CI45">
      <v>0</v>
    </nc>
  </rcc>
  <rcc rId="267" sId="4" numFmtId="11">
    <nc r="CK45">
      <v>0</v>
    </nc>
  </rcc>
  <rcc rId="268" sId="4">
    <nc r="CL45">
      <f>CK45-CF45</f>
    </nc>
  </rcc>
  <rcc rId="269" sId="4">
    <nc r="CM45">
      <f>CL45/CF45</f>
    </nc>
  </rcc>
  <rfmt sheetId="4" sqref="CN45" start="0" length="0">
    <dxf>
      <font>
        <sz val="10"/>
        <color auto="1"/>
        <name val="Arial"/>
        <scheme val="none"/>
      </font>
    </dxf>
  </rfmt>
  <rfmt sheetId="4" sqref="CN45" start="0" length="0">
    <dxf>
      <numFmt numFmtId="3" formatCode="#,##0"/>
    </dxf>
  </rfmt>
  <rcc rId="270" sId="4" xfDxf="1" dxf="1" numFmtId="4">
    <nc r="CN45">
      <v>1596</v>
    </nc>
    <ndxf>
      <numFmt numFmtId="3" formatCode="#,##0"/>
    </ndxf>
  </rcc>
  <rcc rId="271" sId="4">
    <nc r="CO45">
      <f>CN45-CK45</f>
    </nc>
  </rcc>
  <rcc rId="272" sId="4">
    <nc r="CP45">
      <f>CO45/CK45</f>
    </nc>
  </rcc>
  <rcc rId="273" sId="7">
    <nc r="A5" t="inlineStr">
      <is>
        <t xml:space="preserve">Office of the legal council </t>
      </is>
    </nc>
  </rcc>
  <rcc rId="274" sId="7">
    <nc r="C5" t="inlineStr">
      <is>
        <t>Created from Office of the Mayor</t>
      </is>
    </nc>
  </rcc>
  <rcc rId="275" sId="7" odxf="1" dxf="1" numFmtId="4">
    <nc r="B5">
      <v>1596</v>
    </nc>
    <odxf>
      <numFmt numFmtId="0" formatCode="General"/>
    </odxf>
    <ndxf>
      <numFmt numFmtId="3" formatCode="#,##0"/>
    </ndxf>
  </rcc>
  <rfmt sheetId="7" sqref="B5">
    <dxf>
      <alignment horizontal="right" readingOrder="0"/>
    </dxf>
  </rfmt>
  <rcc rId="276" sId="5" odxf="1" dxf="1">
    <nc r="A44" t="inlineStr">
      <is>
        <t>Mayor's Office of Legal Council</t>
      </is>
    </nc>
    <odxf>
      <border outline="0">
        <bottom style="medium">
          <color indexed="64"/>
        </bottom>
      </border>
    </odxf>
    <ndxf>
      <border outline="0">
        <bottom/>
      </border>
    </ndxf>
  </rcc>
  <rcc rId="277" sId="5">
    <nc r="CB44">
      <f>'FY 2016 by Agency'!CF45*Inflator!$E$16</f>
    </nc>
  </rcc>
  <rcc rId="278" sId="5">
    <nc r="CC44">
      <f>CB44-BY44</f>
    </nc>
  </rcc>
  <rcc rId="279" sId="5">
    <nc r="CD44">
      <f>CC44/BY44</f>
    </nc>
  </rcc>
  <rcc rId="280" sId="5">
    <nc r="CE44">
      <f>'FY 2016 by Agency'!CK45*Inflator!$E$17</f>
    </nc>
  </rcc>
  <rcc rId="281" sId="5">
    <nc r="CF44">
      <f>CE44-CB44</f>
    </nc>
  </rcc>
  <rcc rId="282" sId="5">
    <nc r="CG44">
      <f>CF44/CB44</f>
    </nc>
  </rcc>
  <rcc rId="283" sId="5">
    <nc r="CH44">
      <f>'FY 2016 by Agency'!CN45*Inflator!$E$18</f>
    </nc>
  </rcc>
  <rcc rId="284" sId="5">
    <nc r="CI44">
      <f>CH44-CE44</f>
    </nc>
  </rcc>
  <rcc rId="285" sId="5">
    <nc r="CJ44">
      <f>CI44/CE44</f>
    </nc>
  </rcc>
  <rfmt sheetId="5" sqref="A44:XFD44" start="0" length="0">
    <dxf>
      <border>
        <bottom/>
      </border>
    </dxf>
  </rfmt>
  <rrc rId="286" sId="4" ref="A46:XFD46" action="insertRow">
    <undo index="2" exp="area" ref3D="1" dr="$A$238:$XFD$252" dn="Z_F784130D_F647_4ABA_8943_C79CA5B0FDC4_.wvu.Rows" sId="4"/>
    <undo index="2" exp="area" ref3D="1" dr="$A$238:$XFD$252" dn="Z_E81D05A4_5B21_42D3_A8D3_906ABCABC0F4_.wvu.Rows" sId="4"/>
    <undo index="24" exp="area" ref3D="1" dr="$BM$1:$BQ$1048576" dn="Z_E81D05A4_5B21_42D3_A8D3_906ABCABC0F4_.wvu.Cols" sId="4"/>
    <undo index="22" exp="area" ref3D="1" dr="$BF$1:$BG$1048576" dn="Z_E81D05A4_5B21_42D3_A8D3_906ABCABC0F4_.wvu.Cols" sId="4"/>
    <undo index="20" exp="area" ref3D="1" dr="$AY$1:$AZ$1048576" dn="Z_E81D05A4_5B21_42D3_A8D3_906ABCABC0F4_.wvu.Cols" sId="4"/>
    <undo index="18" exp="area" ref3D="1" dr="$AV$1:$AW$1048576" dn="Z_E81D05A4_5B21_42D3_A8D3_906ABCABC0F4_.wvu.Cols" sId="4"/>
    <undo index="16" exp="area" ref3D="1" dr="$AB$1:$AE$1048576" dn="Z_E81D05A4_5B21_42D3_A8D3_906ABCABC0F4_.wvu.Cols" sId="4"/>
    <undo index="14" exp="area" ref3D="1" dr="$Y$1:$Z$1048576" dn="Z_E81D05A4_5B21_42D3_A8D3_906ABCABC0F4_.wvu.Cols" sId="4"/>
    <undo index="12" exp="area" ref3D="1" dr="$V$1:$W$1048576" dn="Z_E81D05A4_5B21_42D3_A8D3_906ABCABC0F4_.wvu.Cols" sId="4"/>
    <undo index="10" exp="area" ref3D="1" dr="$S$1:$T$1048576" dn="Z_E81D05A4_5B21_42D3_A8D3_906ABCABC0F4_.wvu.Cols" sId="4"/>
    <undo index="8" exp="area" ref3D="1" dr="$P$1:$Q$1048576" dn="Z_E81D05A4_5B21_42D3_A8D3_906ABCABC0F4_.wvu.Cols" sId="4"/>
    <undo index="6" exp="area" ref3D="1" dr="$M$1:$N$1048576" dn="Z_E81D05A4_5B21_42D3_A8D3_906ABCABC0F4_.wvu.Cols" sId="4"/>
    <undo index="4" exp="area" ref3D="1" dr="$J$1:$K$1048576" dn="Z_E81D05A4_5B21_42D3_A8D3_906ABCABC0F4_.wvu.Cols" sId="4"/>
    <undo index="2" exp="area" ref3D="1" dr="$G$1:$H$1048576" dn="Z_E81D05A4_5B21_42D3_A8D3_906ABCABC0F4_.wvu.Cols" sId="4"/>
    <undo index="1" exp="area" ref3D="1" dr="$D$1:$E$1048576" dn="Z_E81D05A4_5B21_42D3_A8D3_906ABCABC0F4_.wvu.Cols" sId="4"/>
    <undo index="2" exp="area" ref3D="1" dr="$A$238:$XFD$252" dn="Z_E44F5FE1_54FC_4AB3_84F9_7D65ACF2DDE7_.wvu.Rows" sId="4"/>
    <undo index="0" exp="area" ref3D="1" dr="$AV$1:$AW$1048576" dn="Z_E44F5FE1_54FC_4AB3_84F9_7D65ACF2DDE7_.wvu.Cols" sId="4"/>
    <undo index="2" exp="area" ref3D="1" dr="$A$238:$XFD$252" dn="Z_CBA65C9F_528B_4CA5_AFDD_C38CD40775BB_.wvu.Rows" sId="4"/>
    <undo index="2" exp="area" ref3D="1" dr="$A$238:$XFD$252" dn="Z_9D4F0482_B164_4671_805A_E0D2D4DD4720_.wvu.Rows" sId="4"/>
    <undo index="0" exp="area" ref3D="1" dr="$AI$1:$AW$1048576" dn="Z_9D4F0482_B164_4671_805A_E0D2D4DD4720_.wvu.Cols" sId="4"/>
    <undo index="2" exp="area" ref3D="1" dr="$A$238:$XFD$252" dn="Z_94DA13B6_7351_40F3_8CF7_A4211EC439DA_.wvu.Rows" sId="4"/>
    <undo index="2" exp="area" ref3D="1" dr="$A$238:$XFD$252" dn="Z_8F508F4D_4777_42BE_9707_8CB9355F7BDB_.wvu.Rows" sId="4"/>
    <undo index="2" exp="area" ref3D="1" dr="$A$238:$XFD$252" dn="Z_7A9890A5_7CC2_466F_AA52_39E8D428DC1C_.wvu.Rows" sId="4"/>
    <undo index="0" exp="area" ref3D="1" dr="$BQ$1:$BQ$1048576" dn="Z_7A9890A5_7CC2_466F_AA52_39E8D428DC1C_.wvu.Cols" sId="4"/>
    <undo index="0" exp="area" ref3D="1" dr="$A$238:$XFD$252" dn="Z_78CA186D_B240_44D5_8A24_D241DE0B0FD9_.wvu.Rows" sId="4"/>
    <undo index="24" exp="area" ref3D="1" dr="$CC$1:$CC$1048576" dn="Z_78CA186D_B240_44D5_8A24_D241DE0B0FD9_.wvu.Cols" sId="4"/>
    <undo index="22" exp="area" ref3D="1" dr="$BF$1:$BW$1048576" dn="Z_78CA186D_B240_44D5_8A24_D241DE0B0FD9_.wvu.Cols" sId="4"/>
    <undo index="20" exp="area" ref3D="1" dr="$BC$1:$BD$1048576" dn="Z_78CA186D_B240_44D5_8A24_D241DE0B0FD9_.wvu.Cols" sId="4"/>
    <undo index="18" exp="area" ref3D="1" dr="$AG$1:$BA$1048576" dn="Z_78CA186D_B240_44D5_8A24_D241DE0B0FD9_.wvu.Cols" sId="4"/>
    <undo index="16" exp="area" ref3D="1" dr="$AB$1:$AE$1048576" dn="Z_78CA186D_B240_44D5_8A24_D241DE0B0FD9_.wvu.Cols" sId="4"/>
    <undo index="14" exp="area" ref3D="1" dr="$Y$1:$Z$1048576" dn="Z_78CA186D_B240_44D5_8A24_D241DE0B0FD9_.wvu.Cols" sId="4"/>
    <undo index="12" exp="area" ref3D="1" dr="$V$1:$W$1048576" dn="Z_78CA186D_B240_44D5_8A24_D241DE0B0FD9_.wvu.Cols" sId="4"/>
    <undo index="10" exp="area" ref3D="1" dr="$S$1:$T$1048576" dn="Z_78CA186D_B240_44D5_8A24_D241DE0B0FD9_.wvu.Cols" sId="4"/>
    <undo index="8" exp="area" ref3D="1" dr="$P$1:$Q$1048576" dn="Z_78CA186D_B240_44D5_8A24_D241DE0B0FD9_.wvu.Cols" sId="4"/>
    <undo index="6" exp="area" ref3D="1" dr="$M$1:$N$1048576" dn="Z_78CA186D_B240_44D5_8A24_D241DE0B0FD9_.wvu.Cols" sId="4"/>
    <undo index="4" exp="area" ref3D="1" dr="$J$1:$K$1048576" dn="Z_78CA186D_B240_44D5_8A24_D241DE0B0FD9_.wvu.Cols" sId="4"/>
    <undo index="2" exp="area" ref3D="1" dr="$G$1:$H$1048576" dn="Z_78CA186D_B240_44D5_8A24_D241DE0B0FD9_.wvu.Cols" sId="4"/>
    <undo index="1" exp="area" ref3D="1" dr="$D$1:$E$1048576" dn="Z_78CA186D_B240_44D5_8A24_D241DE0B0FD9_.wvu.Cols" sId="4"/>
    <undo index="0" exp="area" ref3D="1" dr="$A$238:$XFD$252" dn="Z_70E2A0B1_0EA6_43AE_8715_395179465BE5_.wvu.Rows" sId="4"/>
    <undo index="8" exp="area" ref3D="1" dr="$BF$1:$BW$1048576" dn="Z_70E2A0B1_0EA6_43AE_8715_395179465BE5_.wvu.Cols" sId="4"/>
    <undo index="6" exp="area" ref3D="1" dr="$BC$1:$BD$1048576" dn="Z_70E2A0B1_0EA6_43AE_8715_395179465BE5_.wvu.Cols" sId="4"/>
    <undo index="4" exp="area" ref3D="1" dr="$AG$1:$BA$1048576" dn="Z_70E2A0B1_0EA6_43AE_8715_395179465BE5_.wvu.Cols" sId="4"/>
    <undo index="2" exp="area" ref3D="1" dr="$AB$1:$AE$1048576" dn="Z_70E2A0B1_0EA6_43AE_8715_395179465BE5_.wvu.Cols" sId="4"/>
    <undo index="1" exp="area" ref3D="1" dr="$Y$1:$Z$1048576" dn="Z_70E2A0B1_0EA6_43AE_8715_395179465BE5_.wvu.Cols" sId="4"/>
    <undo index="2" exp="area" ref3D="1" dr="$A$238:$XFD$252" dn="Z_567C3053_2D8E_4705_8DC7_18896C5303CA_.wvu.Rows" sId="4"/>
    <undo index="0" exp="area" ref3D="1" dr="$BQ$1:$BQ$1048576" dn="Z_567C3053_2D8E_4705_8DC7_18896C5303CA_.wvu.Cols" sId="4"/>
    <undo index="0" exp="area" ref3D="1" dr="$A$238:$XFD$252" dn="Z_5102CD51_6323_4C0C_991F_AF8276ECBB13_.wvu.Rows" sId="4"/>
    <undo index="24" exp="area" ref3D="1" dr="$CC$1:$CC$1048576" dn="Z_5102CD51_6323_4C0C_991F_AF8276ECBB13_.wvu.Cols" sId="4"/>
    <undo index="22" exp="area" ref3D="1" dr="$BF$1:$BW$1048576" dn="Z_5102CD51_6323_4C0C_991F_AF8276ECBB13_.wvu.Cols" sId="4"/>
    <undo index="20" exp="area" ref3D="1" dr="$BC$1:$BD$1048576" dn="Z_5102CD51_6323_4C0C_991F_AF8276ECBB13_.wvu.Cols" sId="4"/>
    <undo index="18" exp="area" ref3D="1" dr="$AG$1:$BA$1048576" dn="Z_5102CD51_6323_4C0C_991F_AF8276ECBB13_.wvu.Cols" sId="4"/>
    <undo index="16" exp="area" ref3D="1" dr="$AB$1:$AE$1048576" dn="Z_5102CD51_6323_4C0C_991F_AF8276ECBB13_.wvu.Cols" sId="4"/>
    <undo index="14" exp="area" ref3D="1" dr="$Y$1:$Z$1048576" dn="Z_5102CD51_6323_4C0C_991F_AF8276ECBB13_.wvu.Cols" sId="4"/>
    <undo index="12" exp="area" ref3D="1" dr="$V$1:$W$1048576" dn="Z_5102CD51_6323_4C0C_991F_AF8276ECBB13_.wvu.Cols" sId="4"/>
    <undo index="10" exp="area" ref3D="1" dr="$S$1:$T$1048576" dn="Z_5102CD51_6323_4C0C_991F_AF8276ECBB13_.wvu.Cols" sId="4"/>
    <undo index="8" exp="area" ref3D="1" dr="$P$1:$Q$1048576" dn="Z_5102CD51_6323_4C0C_991F_AF8276ECBB13_.wvu.Cols" sId="4"/>
    <undo index="6" exp="area" ref3D="1" dr="$M$1:$N$1048576" dn="Z_5102CD51_6323_4C0C_991F_AF8276ECBB13_.wvu.Cols" sId="4"/>
    <undo index="4" exp="area" ref3D="1" dr="$J$1:$K$1048576" dn="Z_5102CD51_6323_4C0C_991F_AF8276ECBB13_.wvu.Cols" sId="4"/>
    <undo index="2" exp="area" ref3D="1" dr="$G$1:$H$1048576" dn="Z_5102CD51_6323_4C0C_991F_AF8276ECBB13_.wvu.Cols" sId="4"/>
    <undo index="1" exp="area" ref3D="1" dr="$D$1:$E$1048576" dn="Z_5102CD51_6323_4C0C_991F_AF8276ECBB13_.wvu.Cols" sId="4"/>
    <undo index="2" exp="area" ref3D="1" dr="$A$238:$XFD$252" dn="Z_455630F5_40FC_47DB_8AD4_712C20B8FB91_.wvu.Rows" sId="4"/>
    <undo index="24" exp="area" ref3D="1" dr="$BF$1:$BG$1048576" dn="Z_455630F5_40FC_47DB_8AD4_712C20B8FB91_.wvu.Cols" sId="4"/>
    <undo index="22" exp="area" ref3D="1" dr="$AY$1:$AZ$1048576" dn="Z_455630F5_40FC_47DB_8AD4_712C20B8FB91_.wvu.Cols" sId="4"/>
    <undo index="20" exp="area" ref3D="1" dr="$AV$1:$AW$1048576" dn="Z_455630F5_40FC_47DB_8AD4_712C20B8FB91_.wvu.Cols" sId="4"/>
    <undo index="18" exp="area" ref3D="1" dr="$AG$1:$AO$1048576" dn="Z_455630F5_40FC_47DB_8AD4_712C20B8FB91_.wvu.Cols" sId="4"/>
    <undo index="16" exp="area" ref3D="1" dr="$AB$1:$AE$1048576" dn="Z_455630F5_40FC_47DB_8AD4_712C20B8FB91_.wvu.Cols" sId="4"/>
    <undo index="14" exp="area" ref3D="1" dr="$Y$1:$Z$1048576" dn="Z_455630F5_40FC_47DB_8AD4_712C20B8FB91_.wvu.Cols" sId="4"/>
    <undo index="12" exp="area" ref3D="1" dr="$V$1:$W$1048576" dn="Z_455630F5_40FC_47DB_8AD4_712C20B8FB91_.wvu.Cols" sId="4"/>
    <undo index="10" exp="area" ref3D="1" dr="$S$1:$T$1048576" dn="Z_455630F5_40FC_47DB_8AD4_712C20B8FB91_.wvu.Cols" sId="4"/>
    <undo index="8" exp="area" ref3D="1" dr="$P$1:$Q$1048576" dn="Z_455630F5_40FC_47DB_8AD4_712C20B8FB91_.wvu.Cols" sId="4"/>
    <undo index="6" exp="area" ref3D="1" dr="$M$1:$N$1048576" dn="Z_455630F5_40FC_47DB_8AD4_712C20B8FB91_.wvu.Cols" sId="4"/>
    <undo index="4" exp="area" ref3D="1" dr="$J$1:$K$1048576" dn="Z_455630F5_40FC_47DB_8AD4_712C20B8FB91_.wvu.Cols" sId="4"/>
    <undo index="2" exp="area" ref3D="1" dr="$G$1:$H$1048576" dn="Z_455630F5_40FC_47DB_8AD4_712C20B8FB91_.wvu.Cols" sId="4"/>
    <undo index="1" exp="area" ref3D="1" dr="$D$1:$E$1048576" dn="Z_455630F5_40FC_47DB_8AD4_712C20B8FB91_.wvu.Cols" sId="4"/>
    <undo index="0" exp="area" ref3D="1" dr="$A$238:$XFD$252" dn="Z_34052DE1_5E82_4B7C_8FA6_8E533676FB0A_.wvu.Rows" sId="4"/>
    <undo index="8" exp="area" ref3D="1" dr="$BF$1:$BW$1048576" dn="Z_34052DE1_5E82_4B7C_8FA6_8E533676FB0A_.wvu.Cols" sId="4"/>
    <undo index="6" exp="area" ref3D="1" dr="$BC$1:$BD$1048576" dn="Z_34052DE1_5E82_4B7C_8FA6_8E533676FB0A_.wvu.Cols" sId="4"/>
    <undo index="4" exp="area" ref3D="1" dr="$AG$1:$BA$1048576" dn="Z_34052DE1_5E82_4B7C_8FA6_8E533676FB0A_.wvu.Cols" sId="4"/>
    <undo index="2" exp="area" ref3D="1" dr="$AB$1:$AE$1048576" dn="Z_34052DE1_5E82_4B7C_8FA6_8E533676FB0A_.wvu.Cols" sId="4"/>
    <undo index="1" exp="area" ref3D="1" dr="$Y$1:$Z$1048576" dn="Z_34052DE1_5E82_4B7C_8FA6_8E533676FB0A_.wvu.Cols" sId="4"/>
    <undo index="2" exp="area" ref3D="1" dr="$A$238:$XFD$252" dn="Z_1E5198E1_BA46_4CE0_8628_4F695B0D7A3B_.wvu.Rows" sId="4"/>
    <undo index="0" exp="area" ref3D="1" dr="$A$238:$XFD$252" dn="Z_08B0A6E6_0C62_4331_9E9A_05DFF5B8DF5B_.wvu.Rows" sId="4"/>
    <undo index="24" exp="area" ref3D="1" dr="$CC$1:$CC$1048576" dn="Z_08B0A6E6_0C62_4331_9E9A_05DFF5B8DF5B_.wvu.Cols" sId="4"/>
    <undo index="22" exp="area" ref3D="1" dr="$BF$1:$BW$1048576" dn="Z_08B0A6E6_0C62_4331_9E9A_05DFF5B8DF5B_.wvu.Cols" sId="4"/>
    <undo index="20" exp="area" ref3D="1" dr="$BC$1:$BD$1048576" dn="Z_08B0A6E6_0C62_4331_9E9A_05DFF5B8DF5B_.wvu.Cols" sId="4"/>
    <undo index="18" exp="area" ref3D="1" dr="$AG$1:$BA$1048576" dn="Z_08B0A6E6_0C62_4331_9E9A_05DFF5B8DF5B_.wvu.Cols" sId="4"/>
    <undo index="16" exp="area" ref3D="1" dr="$AB$1:$AE$1048576" dn="Z_08B0A6E6_0C62_4331_9E9A_05DFF5B8DF5B_.wvu.Cols" sId="4"/>
    <undo index="14" exp="area" ref3D="1" dr="$Y$1:$Z$1048576" dn="Z_08B0A6E6_0C62_4331_9E9A_05DFF5B8DF5B_.wvu.Cols" sId="4"/>
    <undo index="12" exp="area" ref3D="1" dr="$V$1:$W$1048576" dn="Z_08B0A6E6_0C62_4331_9E9A_05DFF5B8DF5B_.wvu.Cols" sId="4"/>
    <undo index="10" exp="area" ref3D="1" dr="$S$1:$T$1048576" dn="Z_08B0A6E6_0C62_4331_9E9A_05DFF5B8DF5B_.wvu.Cols" sId="4"/>
    <undo index="8" exp="area" ref3D="1" dr="$P$1:$Q$1048576" dn="Z_08B0A6E6_0C62_4331_9E9A_05DFF5B8DF5B_.wvu.Cols" sId="4"/>
    <undo index="6" exp="area" ref3D="1" dr="$M$1:$N$1048576" dn="Z_08B0A6E6_0C62_4331_9E9A_05DFF5B8DF5B_.wvu.Cols" sId="4"/>
    <undo index="4" exp="area" ref3D="1" dr="$J$1:$K$1048576" dn="Z_08B0A6E6_0C62_4331_9E9A_05DFF5B8DF5B_.wvu.Cols" sId="4"/>
    <undo index="2" exp="area" ref3D="1" dr="$G$1:$H$1048576" dn="Z_08B0A6E6_0C62_4331_9E9A_05DFF5B8DF5B_.wvu.Cols" sId="4"/>
    <undo index="1" exp="area" ref3D="1" dr="$D$1:$E$1048576" dn="Z_08B0A6E6_0C62_4331_9E9A_05DFF5B8DF5B_.wvu.Cols" sId="4"/>
  </rrc>
  <rcc rId="287" sId="4" numFmtId="11">
    <nc r="CF46">
      <v>0</v>
    </nc>
  </rcc>
  <rcc rId="288" sId="4">
    <nc r="CG46">
      <f>CF46-BZ46</f>
    </nc>
  </rcc>
  <rcc rId="289" sId="4">
    <nc r="CH46">
      <f>CG46/BZ46</f>
    </nc>
  </rcc>
  <rcc rId="290" sId="4" numFmtId="11">
    <nc r="CI46">
      <v>0</v>
    </nc>
  </rcc>
  <rcc rId="291" sId="4" endOfListFormulaUpdate="1">
    <oc r="CI47">
      <f>SUM(CI7:CI44)</f>
    </oc>
    <nc r="CI47">
      <f>SUM(CI7:CI46)</f>
    </nc>
  </rcc>
  <rcc rId="292" sId="4" numFmtId="11">
    <nc r="CK46">
      <v>0</v>
    </nc>
  </rcc>
  <rcc rId="293" sId="4">
    <nc r="CL46">
      <f>CK46-CF46</f>
    </nc>
  </rcc>
  <rcc rId="294" sId="4">
    <nc r="CM46">
      <f>CL46/CF46</f>
    </nc>
  </rcc>
  <rcc rId="295" sId="4" xfDxf="1" dxf="1" numFmtId="4">
    <nc r="CN46">
      <v>5356</v>
    </nc>
    <ndxf>
      <numFmt numFmtId="3" formatCode="#,##0"/>
    </ndxf>
  </rcc>
  <rcc rId="296" sId="4">
    <nc r="CO46">
      <f>CN46-CK46</f>
    </nc>
  </rcc>
  <rcc rId="297" sId="4">
    <nc r="CP46">
      <f>CO46/CK46</f>
    </nc>
  </rcc>
  <rrc rId="298" sId="5" ref="A45:XFD45" action="insertRow">
    <undo index="4" exp="area" ref3D="1" dr="$A$233:$XFD$247" dn="Z_F784130D_F647_4ABA_8943_C79CA5B0FDC4_.wvu.Rows" sId="5"/>
    <undo index="2" exp="area" ref3D="1" dr="$A$169:$XFD$169" dn="Z_F784130D_F647_4ABA_8943_C79CA5B0FDC4_.wvu.Rows" sId="5"/>
    <undo index="2" exp="area" ref3D="1" dr="$AZ$1:$BH$1048576" dn="Z_F784130D_F647_4ABA_8943_C79CA5B0FDC4_.wvu.Cols" sId="5"/>
    <undo index="1" exp="area" ref3D="1" dr="$AJ$1:$AM$1048576" dn="Z_F784130D_F647_4ABA_8943_C79CA5B0FDC4_.wvu.Cols" sId="5"/>
    <undo index="10" exp="area" ref3D="1" dr="$A$233:$XFD$247" dn="Z_E81D05A4_5B21_42D3_A8D3_906ABCABC0F4_.wvu.Rows" sId="5"/>
    <undo index="8" exp="area" ref3D="1" dr="$A$169:$XFD$169" dn="Z_E81D05A4_5B21_42D3_A8D3_906ABCABC0F4_.wvu.Rows" sId="5"/>
    <undo index="6" exp="area" ref3D="1" dr="$A$162:$XFD$162" dn="Z_E81D05A4_5B21_42D3_A8D3_906ABCABC0F4_.wvu.Rows" sId="5"/>
    <undo index="4" exp="area" ref3D="1" dr="$BO$1:$BT$1048576" dn="Z_E81D05A4_5B21_42D3_A8D3_906ABCABC0F4_.wvu.Cols" sId="5"/>
    <undo index="2" exp="area" ref3D="1" dr="$AI$1:$BK$1048576" dn="Z_E81D05A4_5B21_42D3_A8D3_906ABCABC0F4_.wvu.Cols" sId="5"/>
    <undo index="1" exp="area" ref3D="1" dr="$AD$1:$AE$1048576" dn="Z_E81D05A4_5B21_42D3_A8D3_906ABCABC0F4_.wvu.Cols" sId="5"/>
    <undo index="2" exp="area" ref3D="1" dr="$A$233:$XFD$247" dn="Z_E44F5FE1_54FC_4AB3_84F9_7D65ACF2DDE7_.wvu.Rows" sId="5"/>
    <undo index="2" exp="area" ref3D="1" dr="$BO$1:$BT$1048576" dn="Z_E44F5FE1_54FC_4AB3_84F9_7D65ACF2DDE7_.wvu.Cols" sId="5"/>
    <undo index="1" exp="area" ref3D="1" dr="$AI$1:$BK$1048576" dn="Z_E44F5FE1_54FC_4AB3_84F9_7D65ACF2DDE7_.wvu.Cols" sId="5"/>
    <undo index="2" exp="area" ref3D="1" dr="$A$233:$XFD$247" dn="Z_CBA65C9F_528B_4CA5_AFDD_C38CD40775BB_.wvu.Rows" sId="5"/>
    <undo index="0" exp="area" ref3D="1" dr="$AJ$1:$AM$1048576" dn="Z_CBA65C9F_528B_4CA5_AFDD_C38CD40775BB_.wvu.Cols" sId="5"/>
    <undo index="12" exp="area" ref3D="1" dr="$A$233:$XFD$247" dn="Z_9D4F0482_B164_4671_805A_E0D2D4DD4720_.wvu.Rows" sId="5"/>
    <undo index="10" exp="area" ref3D="1" dr="$A$169:$XFD$169" dn="Z_9D4F0482_B164_4671_805A_E0D2D4DD4720_.wvu.Rows" sId="5"/>
    <undo index="8" exp="area" ref3D="1" dr="$A$162:$XFD$162" dn="Z_9D4F0482_B164_4671_805A_E0D2D4DD4720_.wvu.Rows" sId="5"/>
    <undo index="6" exp="area" ref3D="1" dr="$A$154:$XFD$154" dn="Z_9D4F0482_B164_4671_805A_E0D2D4DD4720_.wvu.Rows" sId="5"/>
    <undo index="2" exp="area" ref3D="1" dr="$AI$1:$BJ$1048576" dn="Z_9D4F0482_B164_4671_805A_E0D2D4DD4720_.wvu.Cols" sId="5"/>
    <undo index="1" exp="area" ref3D="1" dr="$AD$1:$AE$1048576" dn="Z_9D4F0482_B164_4671_805A_E0D2D4DD4720_.wvu.Cols" sId="5"/>
    <undo index="2" exp="area" ref3D="1" dr="$A$233:$XFD$247" dn="Z_94DA13B6_7351_40F3_8CF7_A4211EC439DA_.wvu.Rows" sId="5"/>
    <undo index="4" exp="area" ref3D="1" dr="$AP$1:$AS$1048576" dn="Z_94DA13B6_7351_40F3_8CF7_A4211EC439DA_.wvu.Cols" sId="5"/>
    <undo index="2" exp="area" ref3D="1" dr="$AJ$1:$AM$1048576" dn="Z_94DA13B6_7351_40F3_8CF7_A4211EC439DA_.wvu.Cols" sId="5"/>
    <undo index="1" exp="area" ref3D="1" dr="$V$1:$AB$1048576" dn="Z_94DA13B6_7351_40F3_8CF7_A4211EC439DA_.wvu.Cols" sId="5"/>
    <undo index="2" exp="area" ref3D="1" dr="$A$233:$XFD$247" dn="Z_8F508F4D_4777_42BE_9707_8CB9355F7BDB_.wvu.Rows" sId="5"/>
    <undo index="2" exp="area" ref3D="1" dr="$AJ$1:$AM$1048576" dn="Z_8F508F4D_4777_42BE_9707_8CB9355F7BDB_.wvu.Cols" sId="5"/>
    <undo index="1" exp="area" ref3D="1" dr="$V$1:$AB$1048576" dn="Z_8F508F4D_4777_42BE_9707_8CB9355F7BDB_.wvu.Cols" sId="5"/>
    <undo index="2" exp="area" ref3D="1" dr="$A$233:$XFD$247" dn="Z_7A9890A5_7CC2_466F_AA52_39E8D428DC1C_.wvu.Rows" sId="5"/>
    <undo index="4" exp="area" ref3D="1" dr="$BX$1:$BX$1048576" dn="Z_7A9890A5_7CC2_466F_AA52_39E8D428DC1C_.wvu.Cols" sId="5"/>
    <undo index="2" exp="area" ref3D="1" dr="$AP$1:$AS$1048576" dn="Z_7A9890A5_7CC2_466F_AA52_39E8D428DC1C_.wvu.Cols" sId="5"/>
    <undo index="1" exp="area" ref3D="1" dr="$AJ$1:$AM$1048576" dn="Z_7A9890A5_7CC2_466F_AA52_39E8D428DC1C_.wvu.Cols" sId="5"/>
    <undo index="0" exp="area" ref3D="1" dr="$A$233:$XFD$248" dn="Z_78CA186D_B240_44D5_8A24_D241DE0B0FD9_.wvu.Rows" sId="5"/>
    <undo index="6" exp="area" ref3D="1" dr="$BU$1:$BX$1048576" dn="Z_78CA186D_B240_44D5_8A24_D241DE0B0FD9_.wvu.Cols" sId="5"/>
    <undo index="4" exp="area" ref3D="1" dr="$BO$1:$BQ$1048576" dn="Z_78CA186D_B240_44D5_8A24_D241DE0B0FD9_.wvu.Cols" sId="5"/>
    <undo index="2" exp="area" ref3D="1" dr="$AI$1:$BK$1048576" dn="Z_78CA186D_B240_44D5_8A24_D241DE0B0FD9_.wvu.Cols" sId="5"/>
    <undo index="1" exp="area" ref3D="1" dr="$AD$1:$AE$1048576" dn="Z_78CA186D_B240_44D5_8A24_D241DE0B0FD9_.wvu.Cols" sId="5"/>
    <undo index="0" exp="area" ref3D="1" dr="$A$233:$XFD$248" dn="Z_70E2A0B1_0EA6_43AE_8715_395179465BE5_.wvu.Rows" sId="5"/>
    <undo index="4" exp="area" ref3D="1" dr="$BU$1:$BX$1048576" dn="Z_70E2A0B1_0EA6_43AE_8715_395179465BE5_.wvu.Cols" sId="5"/>
    <undo index="2" exp="area" ref3D="1" dr="$BO$1:$BQ$1048576" dn="Z_70E2A0B1_0EA6_43AE_8715_395179465BE5_.wvu.Cols" sId="5"/>
    <undo index="1" exp="area" ref3D="1" dr="$AI$1:$BK$1048576" dn="Z_70E2A0B1_0EA6_43AE_8715_395179465BE5_.wvu.Cols" sId="5"/>
    <undo index="2" exp="area" ref3D="1" dr="$A$233:$XFD$247" dn="Z_567C3053_2D8E_4705_8DC7_18896C5303CA_.wvu.Rows" sId="5"/>
    <undo index="4" exp="area" ref3D="1" dr="$BX$1:$BX$1048576" dn="Z_567C3053_2D8E_4705_8DC7_18896C5303CA_.wvu.Cols" sId="5"/>
    <undo index="2" exp="area" ref3D="1" dr="$AP$1:$AS$1048576" dn="Z_567C3053_2D8E_4705_8DC7_18896C5303CA_.wvu.Cols" sId="5"/>
    <undo index="1" exp="area" ref3D="1" dr="$AJ$1:$AM$1048576" dn="Z_567C3053_2D8E_4705_8DC7_18896C5303CA_.wvu.Cols" sId="5"/>
    <undo index="0" exp="area" ref3D="1" dr="$A$233:$XFD$248" dn="Z_5102CD51_6323_4C0C_991F_AF8276ECBB13_.wvu.Rows" sId="5"/>
    <undo index="6" exp="area" ref3D="1" dr="$BU$1:$BX$1048576" dn="Z_5102CD51_6323_4C0C_991F_AF8276ECBB13_.wvu.Cols" sId="5"/>
    <undo index="4" exp="area" ref3D="1" dr="$BO$1:$BQ$1048576" dn="Z_5102CD51_6323_4C0C_991F_AF8276ECBB13_.wvu.Cols" sId="5"/>
    <undo index="2" exp="area" ref3D="1" dr="$AI$1:$BK$1048576" dn="Z_5102CD51_6323_4C0C_991F_AF8276ECBB13_.wvu.Cols" sId="5"/>
    <undo index="1" exp="area" ref3D="1" dr="$AD$1:$AE$1048576" dn="Z_5102CD51_6323_4C0C_991F_AF8276ECBB13_.wvu.Cols" sId="5"/>
    <undo index="10" exp="area" ref3D="1" dr="$A$233:$XFD$247" dn="Z_455630F5_40FC_47DB_8AD4_712C20B8FB91_.wvu.Rows" sId="5"/>
    <undo index="8" exp="area" ref3D="1" dr="$A$169:$XFD$169" dn="Z_455630F5_40FC_47DB_8AD4_712C20B8FB91_.wvu.Rows" sId="5"/>
    <undo index="6" exp="area" ref3D="1" dr="$A$162:$XFD$162" dn="Z_455630F5_40FC_47DB_8AD4_712C20B8FB91_.wvu.Rows" sId="5"/>
    <undo index="2" exp="area" ref3D="1" dr="$AI$1:$BK$1048576" dn="Z_455630F5_40FC_47DB_8AD4_712C20B8FB91_.wvu.Cols" sId="5"/>
    <undo index="1" exp="area" ref3D="1" dr="$AD$1:$AE$1048576" dn="Z_455630F5_40FC_47DB_8AD4_712C20B8FB91_.wvu.Cols" sId="5"/>
    <undo index="2" exp="area" ref3D="1" dr="$A$233:$XFD$247" dn="Z_1E5198E1_BA46_4CE0_8628_4F695B0D7A3B_.wvu.Rows" sId="5"/>
    <undo index="0" exp="area" ref3D="1" dr="$A$233:$XFD$248" dn="Z_08B0A6E6_0C62_4331_9E9A_05DFF5B8DF5B_.wvu.Rows" sId="5"/>
    <undo index="6" exp="area" ref3D="1" dr="$BU$1:$BX$1048576" dn="Z_08B0A6E6_0C62_4331_9E9A_05DFF5B8DF5B_.wvu.Cols" sId="5"/>
    <undo index="4" exp="area" ref3D="1" dr="$BO$1:$BQ$1048576" dn="Z_08B0A6E6_0C62_4331_9E9A_05DFF5B8DF5B_.wvu.Cols" sId="5"/>
    <undo index="2" exp="area" ref3D="1" dr="$AI$1:$BK$1048576" dn="Z_08B0A6E6_0C62_4331_9E9A_05DFF5B8DF5B_.wvu.Cols" sId="5"/>
    <undo index="1" exp="area" ref3D="1" dr="$AD$1:$AE$1048576" dn="Z_08B0A6E6_0C62_4331_9E9A_05DFF5B8DF5B_.wvu.Cols" sId="5"/>
  </rrc>
  <rcc rId="299" sId="5">
    <nc r="CB45">
      <f>'FY 2016 by Agency'!CF46*Inflator!$E$16</f>
    </nc>
  </rcc>
  <rcc rId="300" sId="5">
    <nc r="CC45">
      <f>CB45-BY45</f>
    </nc>
  </rcc>
  <rcc rId="301" sId="5">
    <nc r="CD45">
      <f>CC45/BY45</f>
    </nc>
  </rcc>
  <rcc rId="302" sId="5">
    <nc r="CE45">
      <f>'FY 2016 by Agency'!CK46*Inflator!$E$17</f>
    </nc>
  </rcc>
  <rcc rId="303" sId="5">
    <nc r="CF45">
      <f>CE45-CB45</f>
    </nc>
  </rcc>
  <rcc rId="304" sId="5">
    <nc r="CG45">
      <f>CF45/CB45</f>
    </nc>
  </rcc>
  <rcc rId="305" sId="5">
    <nc r="CH45">
      <f>'FY 2016 by Agency'!CN46*Inflator!$E$18</f>
    </nc>
  </rcc>
  <rcc rId="306" sId="5">
    <nc r="CI45">
      <f>CH45-CE45</f>
    </nc>
  </rcc>
  <rcc rId="307" sId="5">
    <nc r="CJ45">
      <f>CI45/CE45</f>
    </nc>
  </rcc>
  <rcc rId="308" sId="5">
    <nc r="A45" t="inlineStr">
      <is>
        <t>Office of the Senior Advisor</t>
      </is>
    </nc>
  </rcc>
  <rcc rId="309" sId="7">
    <nc r="A6" t="inlineStr">
      <is>
        <t>Office of the Senior Advisor</t>
      </is>
    </nc>
  </rcc>
  <rfmt sheetId="7" sqref="B6" start="0" length="0">
    <dxf>
      <numFmt numFmtId="3" formatCode="#,##0"/>
    </dxf>
  </rfmt>
  <rcc rId="310" sId="7" xfDxf="1" dxf="1" numFmtId="4">
    <nc r="B6">
      <v>5356</v>
    </nc>
    <ndxf>
      <font>
        <sz val="11"/>
        <name val="Calibri"/>
        <scheme val="minor"/>
      </font>
      <numFmt numFmtId="3" formatCode="#,##0"/>
      <alignment horizontal="left" vertical="top" readingOrder="0"/>
    </ndxf>
  </rcc>
  <rfmt sheetId="7" sqref="B6">
    <dxf>
      <alignment horizontal="right" readingOrder="0"/>
    </dxf>
  </rfmt>
  <rcc rId="311" sId="4">
    <nc r="A46" t="inlineStr">
      <is>
        <t>Office of the Senior Advisor</t>
      </is>
    </nc>
  </rcc>
  <rcc rId="312" sId="4" xfDxf="1" dxf="1" numFmtId="11">
    <oc r="CF13">
      <f>CD13+CE13</f>
    </oc>
    <nc r="CF13">
      <v>3711</v>
    </nc>
    <ndxf>
      <font>
        <sz val="11"/>
        <name val="Calibri"/>
        <scheme val="minor"/>
      </font>
      <numFmt numFmtId="165" formatCode="&quot;$&quot;#,##0"/>
    </ndxf>
  </rcc>
  <rcc rId="313" sId="4">
    <nc r="CK13">
      <f>3915</f>
    </nc>
  </rcc>
  <rcc rId="314" sId="4">
    <nc r="CN13">
      <v>0</v>
    </nc>
  </rcc>
  <rcc rId="315" sId="7">
    <nc r="C6" t="inlineStr">
      <is>
        <t>Created from Office of the Mayor and Office of the Secretary</t>
      </is>
    </nc>
  </rcc>
  <rcc rId="316" sId="7">
    <nc r="A7" t="inlineStr">
      <is>
        <t>Office of Secretary (Disolved)</t>
      </is>
    </nc>
  </rcc>
  <rfmt sheetId="7" sqref="B7" start="0" length="0">
    <dxf>
      <numFmt numFmtId="3" formatCode="#,##0"/>
    </dxf>
  </rfmt>
  <rcc rId="317" sId="7" xfDxf="1" dxf="1" numFmtId="4">
    <nc r="B7">
      <v>3058</v>
    </nc>
    <ndxf>
      <font>
        <sz val="11"/>
        <name val="Calibri"/>
        <scheme val="minor"/>
      </font>
      <numFmt numFmtId="3" formatCode="#,##0"/>
      <alignment horizontal="left" vertical="top" readingOrder="0"/>
    </ndxf>
  </rcc>
  <rfmt sheetId="7" sqref="B7">
    <dxf>
      <alignment horizontal="right" readingOrder="0"/>
    </dxf>
  </rfmt>
  <rcc rId="318" sId="7">
    <nc r="C7" t="inlineStr">
      <is>
        <t>Funding and employees transferred to Office of Senior Advisor</t>
      </is>
    </nc>
  </rcc>
  <rcc rId="319" sId="4" numFmtId="11">
    <nc r="CK11">
      <v>0</v>
    </nc>
  </rcc>
  <rcc rId="320" sId="4" numFmtId="11">
    <nc r="CK12">
      <v>0</v>
    </nc>
  </rcc>
  <rcc rId="321" sId="4" numFmtId="4">
    <nc r="CN11">
      <v>0</v>
    </nc>
  </rcc>
  <rcc rId="322" sId="4">
    <nc r="CN12">
      <v>0</v>
    </nc>
  </rcc>
  <rcc rId="323" sId="4" numFmtId="11">
    <nc r="CK14">
      <v>0</v>
    </nc>
  </rcc>
  <rcc rId="324" sId="4">
    <nc r="CN14">
      <v>0</v>
    </nc>
  </rcc>
  <rfmt sheetId="4" xfDxf="1" sqref="CK15" start="0" length="0">
    <dxf>
      <font>
        <sz val="11"/>
        <name val="Calibri"/>
        <scheme val="minor"/>
      </font>
      <numFmt numFmtId="165" formatCode="&quot;$&quot;#,##0"/>
    </dxf>
  </rfmt>
  <rcc rId="325" sId="4" xfDxf="1" dxf="1" numFmtId="11">
    <oc r="CF15">
      <f>CD15+CE15</f>
    </oc>
    <nc r="CF15">
      <v>3238</v>
    </nc>
    <ndxf>
      <font>
        <sz val="11"/>
        <name val="Calibri"/>
        <scheme val="minor"/>
      </font>
      <numFmt numFmtId="165" formatCode="&quot;$&quot;#,##0"/>
    </ndxf>
  </rcc>
  <rcc rId="326" sId="4" xfDxf="1" dxf="1" numFmtId="11">
    <nc r="CK15">
      <v>3714</v>
    </nc>
    <ndxf>
      <font>
        <sz val="11"/>
        <name val="Calibri"/>
        <scheme val="minor"/>
      </font>
      <numFmt numFmtId="165" formatCode="&quot;$&quot;#,##0"/>
    </ndxf>
  </rcc>
  <rfmt sheetId="4" sqref="CN15" start="0" length="0">
    <dxf>
      <numFmt numFmtId="3" formatCode="#,##0"/>
    </dxf>
  </rfmt>
  <rcc rId="327" sId="4" xfDxf="1" dxf="1" numFmtId="4">
    <nc r="CN15">
      <v>7266</v>
    </nc>
    <ndxf>
      <font>
        <sz val="11"/>
        <name val="Calibri"/>
        <scheme val="minor"/>
      </font>
      <numFmt numFmtId="3" formatCode="#,##0"/>
    </ndxf>
  </rcc>
  <rcc rId="328" sId="7">
    <nc r="A8" t="inlineStr">
      <is>
        <t>Office of City Admin</t>
      </is>
    </nc>
  </rcc>
  <rfmt sheetId="7" sqref="B8">
    <dxf>
      <alignment horizontal="right" readingOrder="0"/>
    </dxf>
  </rfmt>
  <rcc rId="329" sId="7" numFmtId="11">
    <nc r="B8">
      <v>2001</v>
    </nc>
  </rcc>
  <rcc rId="330" sId="7">
    <nc r="C8" t="inlineStr">
      <is>
        <t>Transfer from DM Public Safety and Justice and EOM</t>
      </is>
    </nc>
  </rcc>
  <rrc rId="331" sId="4" ref="A47:XFD47" action="insertRow">
    <undo index="2" exp="area" ref3D="1" dr="$A$239:$XFD$253" dn="Z_F784130D_F647_4ABA_8943_C79CA5B0FDC4_.wvu.Rows" sId="4"/>
    <undo index="2" exp="area" ref3D="1" dr="$A$239:$XFD$253" dn="Z_E81D05A4_5B21_42D3_A8D3_906ABCABC0F4_.wvu.Rows" sId="4"/>
    <undo index="24" exp="area" ref3D="1" dr="$BM$1:$BQ$1048576" dn="Z_E81D05A4_5B21_42D3_A8D3_906ABCABC0F4_.wvu.Cols" sId="4"/>
    <undo index="22" exp="area" ref3D="1" dr="$BF$1:$BG$1048576" dn="Z_E81D05A4_5B21_42D3_A8D3_906ABCABC0F4_.wvu.Cols" sId="4"/>
    <undo index="20" exp="area" ref3D="1" dr="$AY$1:$AZ$1048576" dn="Z_E81D05A4_5B21_42D3_A8D3_906ABCABC0F4_.wvu.Cols" sId="4"/>
    <undo index="18" exp="area" ref3D="1" dr="$AV$1:$AW$1048576" dn="Z_E81D05A4_5B21_42D3_A8D3_906ABCABC0F4_.wvu.Cols" sId="4"/>
    <undo index="16" exp="area" ref3D="1" dr="$AB$1:$AE$1048576" dn="Z_E81D05A4_5B21_42D3_A8D3_906ABCABC0F4_.wvu.Cols" sId="4"/>
    <undo index="14" exp="area" ref3D="1" dr="$Y$1:$Z$1048576" dn="Z_E81D05A4_5B21_42D3_A8D3_906ABCABC0F4_.wvu.Cols" sId="4"/>
    <undo index="12" exp="area" ref3D="1" dr="$V$1:$W$1048576" dn="Z_E81D05A4_5B21_42D3_A8D3_906ABCABC0F4_.wvu.Cols" sId="4"/>
    <undo index="10" exp="area" ref3D="1" dr="$S$1:$T$1048576" dn="Z_E81D05A4_5B21_42D3_A8D3_906ABCABC0F4_.wvu.Cols" sId="4"/>
    <undo index="8" exp="area" ref3D="1" dr="$P$1:$Q$1048576" dn="Z_E81D05A4_5B21_42D3_A8D3_906ABCABC0F4_.wvu.Cols" sId="4"/>
    <undo index="6" exp="area" ref3D="1" dr="$M$1:$N$1048576" dn="Z_E81D05A4_5B21_42D3_A8D3_906ABCABC0F4_.wvu.Cols" sId="4"/>
    <undo index="4" exp="area" ref3D="1" dr="$J$1:$K$1048576" dn="Z_E81D05A4_5B21_42D3_A8D3_906ABCABC0F4_.wvu.Cols" sId="4"/>
    <undo index="2" exp="area" ref3D="1" dr="$G$1:$H$1048576" dn="Z_E81D05A4_5B21_42D3_A8D3_906ABCABC0F4_.wvu.Cols" sId="4"/>
    <undo index="1" exp="area" ref3D="1" dr="$D$1:$E$1048576" dn="Z_E81D05A4_5B21_42D3_A8D3_906ABCABC0F4_.wvu.Cols" sId="4"/>
    <undo index="2" exp="area" ref3D="1" dr="$A$239:$XFD$253" dn="Z_E44F5FE1_54FC_4AB3_84F9_7D65ACF2DDE7_.wvu.Rows" sId="4"/>
    <undo index="0" exp="area" ref3D="1" dr="$AV$1:$AW$1048576" dn="Z_E44F5FE1_54FC_4AB3_84F9_7D65ACF2DDE7_.wvu.Cols" sId="4"/>
    <undo index="2" exp="area" ref3D="1" dr="$A$239:$XFD$253" dn="Z_CBA65C9F_528B_4CA5_AFDD_C38CD40775BB_.wvu.Rows" sId="4"/>
    <undo index="2" exp="area" ref3D="1" dr="$A$239:$XFD$253" dn="Z_9D4F0482_B164_4671_805A_E0D2D4DD4720_.wvu.Rows" sId="4"/>
    <undo index="0" exp="area" ref3D="1" dr="$AI$1:$AW$1048576" dn="Z_9D4F0482_B164_4671_805A_E0D2D4DD4720_.wvu.Cols" sId="4"/>
    <undo index="2" exp="area" ref3D="1" dr="$A$239:$XFD$253" dn="Z_94DA13B6_7351_40F3_8CF7_A4211EC439DA_.wvu.Rows" sId="4"/>
    <undo index="2" exp="area" ref3D="1" dr="$A$239:$XFD$253" dn="Z_8F508F4D_4777_42BE_9707_8CB9355F7BDB_.wvu.Rows" sId="4"/>
    <undo index="2" exp="area" ref3D="1" dr="$A$239:$XFD$253" dn="Z_7A9890A5_7CC2_466F_AA52_39E8D428DC1C_.wvu.Rows" sId="4"/>
    <undo index="0" exp="area" ref3D="1" dr="$BQ$1:$BQ$1048576" dn="Z_7A9890A5_7CC2_466F_AA52_39E8D428DC1C_.wvu.Cols" sId="4"/>
    <undo index="0" exp="area" ref3D="1" dr="$A$239:$XFD$253" dn="Z_78CA186D_B240_44D5_8A24_D241DE0B0FD9_.wvu.Rows" sId="4"/>
    <undo index="24" exp="area" ref3D="1" dr="$CC$1:$CC$1048576" dn="Z_78CA186D_B240_44D5_8A24_D241DE0B0FD9_.wvu.Cols" sId="4"/>
    <undo index="22" exp="area" ref3D="1" dr="$BF$1:$BW$1048576" dn="Z_78CA186D_B240_44D5_8A24_D241DE0B0FD9_.wvu.Cols" sId="4"/>
    <undo index="20" exp="area" ref3D="1" dr="$BC$1:$BD$1048576" dn="Z_78CA186D_B240_44D5_8A24_D241DE0B0FD9_.wvu.Cols" sId="4"/>
    <undo index="18" exp="area" ref3D="1" dr="$AG$1:$BA$1048576" dn="Z_78CA186D_B240_44D5_8A24_D241DE0B0FD9_.wvu.Cols" sId="4"/>
    <undo index="16" exp="area" ref3D="1" dr="$AB$1:$AE$1048576" dn="Z_78CA186D_B240_44D5_8A24_D241DE0B0FD9_.wvu.Cols" sId="4"/>
    <undo index="14" exp="area" ref3D="1" dr="$Y$1:$Z$1048576" dn="Z_78CA186D_B240_44D5_8A24_D241DE0B0FD9_.wvu.Cols" sId="4"/>
    <undo index="12" exp="area" ref3D="1" dr="$V$1:$W$1048576" dn="Z_78CA186D_B240_44D5_8A24_D241DE0B0FD9_.wvu.Cols" sId="4"/>
    <undo index="10" exp="area" ref3D="1" dr="$S$1:$T$1048576" dn="Z_78CA186D_B240_44D5_8A24_D241DE0B0FD9_.wvu.Cols" sId="4"/>
    <undo index="8" exp="area" ref3D="1" dr="$P$1:$Q$1048576" dn="Z_78CA186D_B240_44D5_8A24_D241DE0B0FD9_.wvu.Cols" sId="4"/>
    <undo index="6" exp="area" ref3D="1" dr="$M$1:$N$1048576" dn="Z_78CA186D_B240_44D5_8A24_D241DE0B0FD9_.wvu.Cols" sId="4"/>
    <undo index="4" exp="area" ref3D="1" dr="$J$1:$K$1048576" dn="Z_78CA186D_B240_44D5_8A24_D241DE0B0FD9_.wvu.Cols" sId="4"/>
    <undo index="2" exp="area" ref3D="1" dr="$G$1:$H$1048576" dn="Z_78CA186D_B240_44D5_8A24_D241DE0B0FD9_.wvu.Cols" sId="4"/>
    <undo index="1" exp="area" ref3D="1" dr="$D$1:$E$1048576" dn="Z_78CA186D_B240_44D5_8A24_D241DE0B0FD9_.wvu.Cols" sId="4"/>
    <undo index="0" exp="area" ref3D="1" dr="$A$239:$XFD$253" dn="Z_70E2A0B1_0EA6_43AE_8715_395179465BE5_.wvu.Rows" sId="4"/>
    <undo index="8" exp="area" ref3D="1" dr="$BF$1:$BW$1048576" dn="Z_70E2A0B1_0EA6_43AE_8715_395179465BE5_.wvu.Cols" sId="4"/>
    <undo index="6" exp="area" ref3D="1" dr="$BC$1:$BD$1048576" dn="Z_70E2A0B1_0EA6_43AE_8715_395179465BE5_.wvu.Cols" sId="4"/>
    <undo index="4" exp="area" ref3D="1" dr="$AG$1:$BA$1048576" dn="Z_70E2A0B1_0EA6_43AE_8715_395179465BE5_.wvu.Cols" sId="4"/>
    <undo index="2" exp="area" ref3D="1" dr="$AB$1:$AE$1048576" dn="Z_70E2A0B1_0EA6_43AE_8715_395179465BE5_.wvu.Cols" sId="4"/>
    <undo index="1" exp="area" ref3D="1" dr="$Y$1:$Z$1048576" dn="Z_70E2A0B1_0EA6_43AE_8715_395179465BE5_.wvu.Cols" sId="4"/>
    <undo index="2" exp="area" ref3D="1" dr="$A$239:$XFD$253" dn="Z_567C3053_2D8E_4705_8DC7_18896C5303CA_.wvu.Rows" sId="4"/>
    <undo index="0" exp="area" ref3D="1" dr="$BQ$1:$BQ$1048576" dn="Z_567C3053_2D8E_4705_8DC7_18896C5303CA_.wvu.Cols" sId="4"/>
    <undo index="0" exp="area" ref3D="1" dr="$A$239:$XFD$253" dn="Z_5102CD51_6323_4C0C_991F_AF8276ECBB13_.wvu.Rows" sId="4"/>
    <undo index="24" exp="area" ref3D="1" dr="$CC$1:$CC$1048576" dn="Z_5102CD51_6323_4C0C_991F_AF8276ECBB13_.wvu.Cols" sId="4"/>
    <undo index="22" exp="area" ref3D="1" dr="$BF$1:$BW$1048576" dn="Z_5102CD51_6323_4C0C_991F_AF8276ECBB13_.wvu.Cols" sId="4"/>
    <undo index="20" exp="area" ref3D="1" dr="$BC$1:$BD$1048576" dn="Z_5102CD51_6323_4C0C_991F_AF8276ECBB13_.wvu.Cols" sId="4"/>
    <undo index="18" exp="area" ref3D="1" dr="$AG$1:$BA$1048576" dn="Z_5102CD51_6323_4C0C_991F_AF8276ECBB13_.wvu.Cols" sId="4"/>
    <undo index="16" exp="area" ref3D="1" dr="$AB$1:$AE$1048576" dn="Z_5102CD51_6323_4C0C_991F_AF8276ECBB13_.wvu.Cols" sId="4"/>
    <undo index="14" exp="area" ref3D="1" dr="$Y$1:$Z$1048576" dn="Z_5102CD51_6323_4C0C_991F_AF8276ECBB13_.wvu.Cols" sId="4"/>
    <undo index="12" exp="area" ref3D="1" dr="$V$1:$W$1048576" dn="Z_5102CD51_6323_4C0C_991F_AF8276ECBB13_.wvu.Cols" sId="4"/>
    <undo index="10" exp="area" ref3D="1" dr="$S$1:$T$1048576" dn="Z_5102CD51_6323_4C0C_991F_AF8276ECBB13_.wvu.Cols" sId="4"/>
    <undo index="8" exp="area" ref3D="1" dr="$P$1:$Q$1048576" dn="Z_5102CD51_6323_4C0C_991F_AF8276ECBB13_.wvu.Cols" sId="4"/>
    <undo index="6" exp="area" ref3D="1" dr="$M$1:$N$1048576" dn="Z_5102CD51_6323_4C0C_991F_AF8276ECBB13_.wvu.Cols" sId="4"/>
    <undo index="4" exp="area" ref3D="1" dr="$J$1:$K$1048576" dn="Z_5102CD51_6323_4C0C_991F_AF8276ECBB13_.wvu.Cols" sId="4"/>
    <undo index="2" exp="area" ref3D="1" dr="$G$1:$H$1048576" dn="Z_5102CD51_6323_4C0C_991F_AF8276ECBB13_.wvu.Cols" sId="4"/>
    <undo index="1" exp="area" ref3D="1" dr="$D$1:$E$1048576" dn="Z_5102CD51_6323_4C0C_991F_AF8276ECBB13_.wvu.Cols" sId="4"/>
    <undo index="2" exp="area" ref3D="1" dr="$A$239:$XFD$253" dn="Z_455630F5_40FC_47DB_8AD4_712C20B8FB91_.wvu.Rows" sId="4"/>
    <undo index="24" exp="area" ref3D="1" dr="$BF$1:$BG$1048576" dn="Z_455630F5_40FC_47DB_8AD4_712C20B8FB91_.wvu.Cols" sId="4"/>
    <undo index="22" exp="area" ref3D="1" dr="$AY$1:$AZ$1048576" dn="Z_455630F5_40FC_47DB_8AD4_712C20B8FB91_.wvu.Cols" sId="4"/>
    <undo index="20" exp="area" ref3D="1" dr="$AV$1:$AW$1048576" dn="Z_455630F5_40FC_47DB_8AD4_712C20B8FB91_.wvu.Cols" sId="4"/>
    <undo index="18" exp="area" ref3D="1" dr="$AG$1:$AO$1048576" dn="Z_455630F5_40FC_47DB_8AD4_712C20B8FB91_.wvu.Cols" sId="4"/>
    <undo index="16" exp="area" ref3D="1" dr="$AB$1:$AE$1048576" dn="Z_455630F5_40FC_47DB_8AD4_712C20B8FB91_.wvu.Cols" sId="4"/>
    <undo index="14" exp="area" ref3D="1" dr="$Y$1:$Z$1048576" dn="Z_455630F5_40FC_47DB_8AD4_712C20B8FB91_.wvu.Cols" sId="4"/>
    <undo index="12" exp="area" ref3D="1" dr="$V$1:$W$1048576" dn="Z_455630F5_40FC_47DB_8AD4_712C20B8FB91_.wvu.Cols" sId="4"/>
    <undo index="10" exp="area" ref3D="1" dr="$S$1:$T$1048576" dn="Z_455630F5_40FC_47DB_8AD4_712C20B8FB91_.wvu.Cols" sId="4"/>
    <undo index="8" exp="area" ref3D="1" dr="$P$1:$Q$1048576" dn="Z_455630F5_40FC_47DB_8AD4_712C20B8FB91_.wvu.Cols" sId="4"/>
    <undo index="6" exp="area" ref3D="1" dr="$M$1:$N$1048576" dn="Z_455630F5_40FC_47DB_8AD4_712C20B8FB91_.wvu.Cols" sId="4"/>
    <undo index="4" exp="area" ref3D="1" dr="$J$1:$K$1048576" dn="Z_455630F5_40FC_47DB_8AD4_712C20B8FB91_.wvu.Cols" sId="4"/>
    <undo index="2" exp="area" ref3D="1" dr="$G$1:$H$1048576" dn="Z_455630F5_40FC_47DB_8AD4_712C20B8FB91_.wvu.Cols" sId="4"/>
    <undo index="1" exp="area" ref3D="1" dr="$D$1:$E$1048576" dn="Z_455630F5_40FC_47DB_8AD4_712C20B8FB91_.wvu.Cols" sId="4"/>
    <undo index="0" exp="area" ref3D="1" dr="$A$239:$XFD$253" dn="Z_34052DE1_5E82_4B7C_8FA6_8E533676FB0A_.wvu.Rows" sId="4"/>
    <undo index="8" exp="area" ref3D="1" dr="$BF$1:$BW$1048576" dn="Z_34052DE1_5E82_4B7C_8FA6_8E533676FB0A_.wvu.Cols" sId="4"/>
    <undo index="6" exp="area" ref3D="1" dr="$BC$1:$BD$1048576" dn="Z_34052DE1_5E82_4B7C_8FA6_8E533676FB0A_.wvu.Cols" sId="4"/>
    <undo index="4" exp="area" ref3D="1" dr="$AG$1:$BA$1048576" dn="Z_34052DE1_5E82_4B7C_8FA6_8E533676FB0A_.wvu.Cols" sId="4"/>
    <undo index="2" exp="area" ref3D="1" dr="$AB$1:$AE$1048576" dn="Z_34052DE1_5E82_4B7C_8FA6_8E533676FB0A_.wvu.Cols" sId="4"/>
    <undo index="1" exp="area" ref3D="1" dr="$Y$1:$Z$1048576" dn="Z_34052DE1_5E82_4B7C_8FA6_8E533676FB0A_.wvu.Cols" sId="4"/>
    <undo index="2" exp="area" ref3D="1" dr="$A$239:$XFD$253" dn="Z_1E5198E1_BA46_4CE0_8628_4F695B0D7A3B_.wvu.Rows" sId="4"/>
    <undo index="0" exp="area" ref3D="1" dr="$A$239:$XFD$253" dn="Z_08B0A6E6_0C62_4331_9E9A_05DFF5B8DF5B_.wvu.Rows" sId="4"/>
    <undo index="24" exp="area" ref3D="1" dr="$CC$1:$CC$1048576" dn="Z_08B0A6E6_0C62_4331_9E9A_05DFF5B8DF5B_.wvu.Cols" sId="4"/>
    <undo index="22" exp="area" ref3D="1" dr="$BF$1:$BW$1048576" dn="Z_08B0A6E6_0C62_4331_9E9A_05DFF5B8DF5B_.wvu.Cols" sId="4"/>
    <undo index="20" exp="area" ref3D="1" dr="$BC$1:$BD$1048576" dn="Z_08B0A6E6_0C62_4331_9E9A_05DFF5B8DF5B_.wvu.Cols" sId="4"/>
    <undo index="18" exp="area" ref3D="1" dr="$AG$1:$BA$1048576" dn="Z_08B0A6E6_0C62_4331_9E9A_05DFF5B8DF5B_.wvu.Cols" sId="4"/>
    <undo index="16" exp="area" ref3D="1" dr="$AB$1:$AE$1048576" dn="Z_08B0A6E6_0C62_4331_9E9A_05DFF5B8DF5B_.wvu.Cols" sId="4"/>
    <undo index="14" exp="area" ref3D="1" dr="$Y$1:$Z$1048576" dn="Z_08B0A6E6_0C62_4331_9E9A_05DFF5B8DF5B_.wvu.Cols" sId="4"/>
    <undo index="12" exp="area" ref3D="1" dr="$V$1:$W$1048576" dn="Z_08B0A6E6_0C62_4331_9E9A_05DFF5B8DF5B_.wvu.Cols" sId="4"/>
    <undo index="10" exp="area" ref3D="1" dr="$S$1:$T$1048576" dn="Z_08B0A6E6_0C62_4331_9E9A_05DFF5B8DF5B_.wvu.Cols" sId="4"/>
    <undo index="8" exp="area" ref3D="1" dr="$P$1:$Q$1048576" dn="Z_08B0A6E6_0C62_4331_9E9A_05DFF5B8DF5B_.wvu.Cols" sId="4"/>
    <undo index="6" exp="area" ref3D="1" dr="$M$1:$N$1048576" dn="Z_08B0A6E6_0C62_4331_9E9A_05DFF5B8DF5B_.wvu.Cols" sId="4"/>
    <undo index="4" exp="area" ref3D="1" dr="$J$1:$K$1048576" dn="Z_08B0A6E6_0C62_4331_9E9A_05DFF5B8DF5B_.wvu.Cols" sId="4"/>
    <undo index="2" exp="area" ref3D="1" dr="$G$1:$H$1048576" dn="Z_08B0A6E6_0C62_4331_9E9A_05DFF5B8DF5B_.wvu.Cols" sId="4"/>
    <undo index="1" exp="area" ref3D="1" dr="$D$1:$E$1048576" dn="Z_08B0A6E6_0C62_4331_9E9A_05DFF5B8DF5B_.wvu.Cols" sId="4"/>
  </rrc>
  <rcc rId="332" sId="4">
    <nc r="A47" t="inlineStr">
      <is>
        <t>Deputy Mayor for Greater Economic Opportunity</t>
      </is>
    </nc>
  </rcc>
  <rcc rId="333" sId="4">
    <nc r="CH47">
      <f>CG47/BZ47</f>
    </nc>
  </rcc>
  <rcc rId="334" sId="4" numFmtId="11">
    <nc r="CI47">
      <v>0</v>
    </nc>
  </rcc>
  <rcc rId="335" sId="4" numFmtId="11">
    <nc r="CK47">
      <v>0</v>
    </nc>
  </rcc>
  <rcc rId="336" sId="4">
    <nc r="CL47">
      <f>CK47-CF47</f>
    </nc>
  </rcc>
  <rcc rId="337" sId="4">
    <nc r="CM47">
      <f>CL47/CF47</f>
    </nc>
  </rcc>
  <rrc rId="338" sId="5" ref="A46:XFD46" action="insertRow">
    <undo index="4" exp="area" ref3D="1" dr="$A$234:$XFD$248" dn="Z_F784130D_F647_4ABA_8943_C79CA5B0FDC4_.wvu.Rows" sId="5"/>
    <undo index="2" exp="area" ref3D="1" dr="$A$170:$XFD$170" dn="Z_F784130D_F647_4ABA_8943_C79CA5B0FDC4_.wvu.Rows" sId="5"/>
    <undo index="2" exp="area" ref3D="1" dr="$AZ$1:$BH$1048576" dn="Z_F784130D_F647_4ABA_8943_C79CA5B0FDC4_.wvu.Cols" sId="5"/>
    <undo index="1" exp="area" ref3D="1" dr="$AJ$1:$AM$1048576" dn="Z_F784130D_F647_4ABA_8943_C79CA5B0FDC4_.wvu.Cols" sId="5"/>
    <undo index="10" exp="area" ref3D="1" dr="$A$234:$XFD$248" dn="Z_E81D05A4_5B21_42D3_A8D3_906ABCABC0F4_.wvu.Rows" sId="5"/>
    <undo index="8" exp="area" ref3D="1" dr="$A$170:$XFD$170" dn="Z_E81D05A4_5B21_42D3_A8D3_906ABCABC0F4_.wvu.Rows" sId="5"/>
    <undo index="6" exp="area" ref3D="1" dr="$A$163:$XFD$163" dn="Z_E81D05A4_5B21_42D3_A8D3_906ABCABC0F4_.wvu.Rows" sId="5"/>
    <undo index="4" exp="area" ref3D="1" dr="$BO$1:$BT$1048576" dn="Z_E81D05A4_5B21_42D3_A8D3_906ABCABC0F4_.wvu.Cols" sId="5"/>
    <undo index="2" exp="area" ref3D="1" dr="$AI$1:$BK$1048576" dn="Z_E81D05A4_5B21_42D3_A8D3_906ABCABC0F4_.wvu.Cols" sId="5"/>
    <undo index="1" exp="area" ref3D="1" dr="$AD$1:$AE$1048576" dn="Z_E81D05A4_5B21_42D3_A8D3_906ABCABC0F4_.wvu.Cols" sId="5"/>
    <undo index="2" exp="area" ref3D="1" dr="$A$234:$XFD$248" dn="Z_E44F5FE1_54FC_4AB3_84F9_7D65ACF2DDE7_.wvu.Rows" sId="5"/>
    <undo index="2" exp="area" ref3D="1" dr="$BO$1:$BT$1048576" dn="Z_E44F5FE1_54FC_4AB3_84F9_7D65ACF2DDE7_.wvu.Cols" sId="5"/>
    <undo index="1" exp="area" ref3D="1" dr="$AI$1:$BK$1048576" dn="Z_E44F5FE1_54FC_4AB3_84F9_7D65ACF2DDE7_.wvu.Cols" sId="5"/>
    <undo index="2" exp="area" ref3D="1" dr="$A$234:$XFD$248" dn="Z_CBA65C9F_528B_4CA5_AFDD_C38CD40775BB_.wvu.Rows" sId="5"/>
    <undo index="0" exp="area" ref3D="1" dr="$AJ$1:$AM$1048576" dn="Z_CBA65C9F_528B_4CA5_AFDD_C38CD40775BB_.wvu.Cols" sId="5"/>
    <undo index="12" exp="area" ref3D="1" dr="$A$234:$XFD$248" dn="Z_9D4F0482_B164_4671_805A_E0D2D4DD4720_.wvu.Rows" sId="5"/>
    <undo index="10" exp="area" ref3D="1" dr="$A$170:$XFD$170" dn="Z_9D4F0482_B164_4671_805A_E0D2D4DD4720_.wvu.Rows" sId="5"/>
    <undo index="8" exp="area" ref3D="1" dr="$A$163:$XFD$163" dn="Z_9D4F0482_B164_4671_805A_E0D2D4DD4720_.wvu.Rows" sId="5"/>
    <undo index="6" exp="area" ref3D="1" dr="$A$155:$XFD$155" dn="Z_9D4F0482_B164_4671_805A_E0D2D4DD4720_.wvu.Rows" sId="5"/>
    <undo index="2" exp="area" ref3D="1" dr="$AI$1:$BJ$1048576" dn="Z_9D4F0482_B164_4671_805A_E0D2D4DD4720_.wvu.Cols" sId="5"/>
    <undo index="1" exp="area" ref3D="1" dr="$AD$1:$AE$1048576" dn="Z_9D4F0482_B164_4671_805A_E0D2D4DD4720_.wvu.Cols" sId="5"/>
    <undo index="2" exp="area" ref3D="1" dr="$A$234:$XFD$248" dn="Z_94DA13B6_7351_40F3_8CF7_A4211EC439DA_.wvu.Rows" sId="5"/>
    <undo index="4" exp="area" ref3D="1" dr="$AP$1:$AS$1048576" dn="Z_94DA13B6_7351_40F3_8CF7_A4211EC439DA_.wvu.Cols" sId="5"/>
    <undo index="2" exp="area" ref3D="1" dr="$AJ$1:$AM$1048576" dn="Z_94DA13B6_7351_40F3_8CF7_A4211EC439DA_.wvu.Cols" sId="5"/>
    <undo index="1" exp="area" ref3D="1" dr="$V$1:$AB$1048576" dn="Z_94DA13B6_7351_40F3_8CF7_A4211EC439DA_.wvu.Cols" sId="5"/>
    <undo index="2" exp="area" ref3D="1" dr="$A$234:$XFD$248" dn="Z_8F508F4D_4777_42BE_9707_8CB9355F7BDB_.wvu.Rows" sId="5"/>
    <undo index="2" exp="area" ref3D="1" dr="$AJ$1:$AM$1048576" dn="Z_8F508F4D_4777_42BE_9707_8CB9355F7BDB_.wvu.Cols" sId="5"/>
    <undo index="1" exp="area" ref3D="1" dr="$V$1:$AB$1048576" dn="Z_8F508F4D_4777_42BE_9707_8CB9355F7BDB_.wvu.Cols" sId="5"/>
    <undo index="2" exp="area" ref3D="1" dr="$A$234:$XFD$248" dn="Z_7A9890A5_7CC2_466F_AA52_39E8D428DC1C_.wvu.Rows" sId="5"/>
    <undo index="4" exp="area" ref3D="1" dr="$BX$1:$BX$1048576" dn="Z_7A9890A5_7CC2_466F_AA52_39E8D428DC1C_.wvu.Cols" sId="5"/>
    <undo index="2" exp="area" ref3D="1" dr="$AP$1:$AS$1048576" dn="Z_7A9890A5_7CC2_466F_AA52_39E8D428DC1C_.wvu.Cols" sId="5"/>
    <undo index="1" exp="area" ref3D="1" dr="$AJ$1:$AM$1048576" dn="Z_7A9890A5_7CC2_466F_AA52_39E8D428DC1C_.wvu.Cols" sId="5"/>
    <undo index="0" exp="area" ref3D="1" dr="$A$234:$XFD$249" dn="Z_78CA186D_B240_44D5_8A24_D241DE0B0FD9_.wvu.Rows" sId="5"/>
    <undo index="6" exp="area" ref3D="1" dr="$BU$1:$BX$1048576" dn="Z_78CA186D_B240_44D5_8A24_D241DE0B0FD9_.wvu.Cols" sId="5"/>
    <undo index="4" exp="area" ref3D="1" dr="$BO$1:$BQ$1048576" dn="Z_78CA186D_B240_44D5_8A24_D241DE0B0FD9_.wvu.Cols" sId="5"/>
    <undo index="2" exp="area" ref3D="1" dr="$AI$1:$BK$1048576" dn="Z_78CA186D_B240_44D5_8A24_D241DE0B0FD9_.wvu.Cols" sId="5"/>
    <undo index="1" exp="area" ref3D="1" dr="$AD$1:$AE$1048576" dn="Z_78CA186D_B240_44D5_8A24_D241DE0B0FD9_.wvu.Cols" sId="5"/>
    <undo index="0" exp="area" ref3D="1" dr="$A$234:$XFD$249" dn="Z_70E2A0B1_0EA6_43AE_8715_395179465BE5_.wvu.Rows" sId="5"/>
    <undo index="4" exp="area" ref3D="1" dr="$BU$1:$BX$1048576" dn="Z_70E2A0B1_0EA6_43AE_8715_395179465BE5_.wvu.Cols" sId="5"/>
    <undo index="2" exp="area" ref3D="1" dr="$BO$1:$BQ$1048576" dn="Z_70E2A0B1_0EA6_43AE_8715_395179465BE5_.wvu.Cols" sId="5"/>
    <undo index="1" exp="area" ref3D="1" dr="$AI$1:$BK$1048576" dn="Z_70E2A0B1_0EA6_43AE_8715_395179465BE5_.wvu.Cols" sId="5"/>
    <undo index="2" exp="area" ref3D="1" dr="$A$234:$XFD$248" dn="Z_567C3053_2D8E_4705_8DC7_18896C5303CA_.wvu.Rows" sId="5"/>
    <undo index="4" exp="area" ref3D="1" dr="$BX$1:$BX$1048576" dn="Z_567C3053_2D8E_4705_8DC7_18896C5303CA_.wvu.Cols" sId="5"/>
    <undo index="2" exp="area" ref3D="1" dr="$AP$1:$AS$1048576" dn="Z_567C3053_2D8E_4705_8DC7_18896C5303CA_.wvu.Cols" sId="5"/>
    <undo index="1" exp="area" ref3D="1" dr="$AJ$1:$AM$1048576" dn="Z_567C3053_2D8E_4705_8DC7_18896C5303CA_.wvu.Cols" sId="5"/>
    <undo index="0" exp="area" ref3D="1" dr="$A$234:$XFD$249" dn="Z_5102CD51_6323_4C0C_991F_AF8276ECBB13_.wvu.Rows" sId="5"/>
    <undo index="6" exp="area" ref3D="1" dr="$BU$1:$BX$1048576" dn="Z_5102CD51_6323_4C0C_991F_AF8276ECBB13_.wvu.Cols" sId="5"/>
    <undo index="4" exp="area" ref3D="1" dr="$BO$1:$BQ$1048576" dn="Z_5102CD51_6323_4C0C_991F_AF8276ECBB13_.wvu.Cols" sId="5"/>
    <undo index="2" exp="area" ref3D="1" dr="$AI$1:$BK$1048576" dn="Z_5102CD51_6323_4C0C_991F_AF8276ECBB13_.wvu.Cols" sId="5"/>
    <undo index="1" exp="area" ref3D="1" dr="$AD$1:$AE$1048576" dn="Z_5102CD51_6323_4C0C_991F_AF8276ECBB13_.wvu.Cols" sId="5"/>
    <undo index="10" exp="area" ref3D="1" dr="$A$234:$XFD$248" dn="Z_455630F5_40FC_47DB_8AD4_712C20B8FB91_.wvu.Rows" sId="5"/>
    <undo index="8" exp="area" ref3D="1" dr="$A$170:$XFD$170" dn="Z_455630F5_40FC_47DB_8AD4_712C20B8FB91_.wvu.Rows" sId="5"/>
    <undo index="6" exp="area" ref3D="1" dr="$A$163:$XFD$163" dn="Z_455630F5_40FC_47DB_8AD4_712C20B8FB91_.wvu.Rows" sId="5"/>
    <undo index="2" exp="area" ref3D="1" dr="$AI$1:$BK$1048576" dn="Z_455630F5_40FC_47DB_8AD4_712C20B8FB91_.wvu.Cols" sId="5"/>
    <undo index="1" exp="area" ref3D="1" dr="$AD$1:$AE$1048576" dn="Z_455630F5_40FC_47DB_8AD4_712C20B8FB91_.wvu.Cols" sId="5"/>
    <undo index="2" exp="area" ref3D="1" dr="$A$234:$XFD$248" dn="Z_1E5198E1_BA46_4CE0_8628_4F695B0D7A3B_.wvu.Rows" sId="5"/>
    <undo index="0" exp="area" ref3D="1" dr="$A$234:$XFD$249" dn="Z_08B0A6E6_0C62_4331_9E9A_05DFF5B8DF5B_.wvu.Rows" sId="5"/>
    <undo index="6" exp="area" ref3D="1" dr="$BU$1:$BX$1048576" dn="Z_08B0A6E6_0C62_4331_9E9A_05DFF5B8DF5B_.wvu.Cols" sId="5"/>
    <undo index="4" exp="area" ref3D="1" dr="$BO$1:$BQ$1048576" dn="Z_08B0A6E6_0C62_4331_9E9A_05DFF5B8DF5B_.wvu.Cols" sId="5"/>
    <undo index="2" exp="area" ref3D="1" dr="$AI$1:$BK$1048576" dn="Z_08B0A6E6_0C62_4331_9E9A_05DFF5B8DF5B_.wvu.Cols" sId="5"/>
    <undo index="1" exp="area" ref3D="1" dr="$AD$1:$AE$1048576" dn="Z_08B0A6E6_0C62_4331_9E9A_05DFF5B8DF5B_.wvu.Cols" sId="5"/>
  </rrc>
  <rcc rId="339" sId="5">
    <nc r="A46" t="inlineStr">
      <is>
        <t>Deputy Mayor for Greater Economic Opportunity</t>
      </is>
    </nc>
  </rcc>
  <rcc rId="340" sId="5">
    <nc r="CB46">
      <f>'FY 2016 by Agency'!CF47*Inflator!$E$16</f>
    </nc>
  </rcc>
  <rcc rId="341" sId="5">
    <nc r="CC46">
      <f>CB46-BY46</f>
    </nc>
  </rcc>
  <rcc rId="342" sId="5">
    <nc r="CD46">
      <f>CC46/BY46</f>
    </nc>
  </rcc>
  <rcc rId="343" sId="5">
    <nc r="CE46">
      <f>'FY 2016 by Agency'!CK47*Inflator!$E$17</f>
    </nc>
  </rcc>
  <rcc rId="344" sId="5">
    <nc r="CF46">
      <f>CE46-CB46</f>
    </nc>
  </rcc>
  <rcc rId="345" sId="5">
    <nc r="CG46">
      <f>CF46/CB46</f>
    </nc>
  </rcc>
  <rcc rId="346" sId="5">
    <nc r="CH46">
      <f>'FY 2016 by Agency'!CN47*Inflator!$E$18</f>
    </nc>
  </rcc>
  <rcc rId="347" sId="5">
    <nc r="CI46">
      <f>CH46-CE46</f>
    </nc>
  </rcc>
  <rcc rId="348" sId="5">
    <nc r="CJ46">
      <f>CI46/CE46</f>
    </nc>
  </rcc>
  <rcc rId="349" sId="4" numFmtId="11">
    <nc r="CF47">
      <v>0</v>
    </nc>
  </rcc>
  <rcc rId="350" sId="4" numFmtId="11">
    <nc r="CG47">
      <f>CF47-BZ47</f>
    </nc>
  </rcc>
  <rcc rId="351" sId="4" numFmtId="4">
    <nc r="CN47">
      <v>698</v>
    </nc>
  </rcc>
  <rcc rId="352" sId="4">
    <nc r="CO47">
      <f>CN47-CK47</f>
    </nc>
  </rcc>
  <rcc rId="353" sId="4">
    <nc r="CP47">
      <f>CO47/CK47</f>
    </nc>
  </rcc>
  <rfmt sheetId="4" sqref="CP7:CP82">
    <dxf>
      <numFmt numFmtId="14" formatCode="0.00%"/>
    </dxf>
  </rfmt>
  <rcc rId="354" sId="4" xfDxf="1" dxf="1" numFmtId="11">
    <oc r="CF16">
      <f>CD16+CE16</f>
    </oc>
    <nc r="CF16">
      <v>2314</v>
    </nc>
    <ndxf>
      <font>
        <sz val="11"/>
        <name val="Calibri"/>
        <scheme val="minor"/>
      </font>
      <numFmt numFmtId="165" formatCode="&quot;$&quot;#,##0"/>
    </ndxf>
  </rcc>
  <rcc rId="355" sId="4" xfDxf="1" dxf="1" numFmtId="11">
    <nc r="CK16">
      <v>3124</v>
    </nc>
    <ndxf>
      <font>
        <sz val="11"/>
        <name val="Calibri"/>
        <scheme val="minor"/>
      </font>
      <numFmt numFmtId="165" formatCode="&quot;$&quot;#,##0"/>
    </ndxf>
  </rcc>
  <rfmt sheetId="4" sqref="CN16" start="0" length="0">
    <dxf>
      <numFmt numFmtId="3" formatCode="#,##0"/>
    </dxf>
  </rfmt>
  <rcc rId="356" sId="4" xfDxf="1" dxf="1" numFmtId="4">
    <nc r="CN16">
      <v>2923</v>
    </nc>
    <ndxf>
      <font>
        <sz val="11"/>
        <name val="Calibri"/>
        <scheme val="minor"/>
      </font>
      <numFmt numFmtId="3" formatCode="#,##0"/>
    </ndxf>
  </rcc>
  <rcc rId="357" sId="4" numFmtId="11">
    <nc r="CK17">
      <v>0</v>
    </nc>
  </rcc>
  <rcc rId="358" sId="4">
    <nc r="CN17">
      <v>0</v>
    </nc>
  </rcc>
  <rfmt sheetId="4" xfDxf="1" sqref="CK18" start="0" length="0">
    <dxf>
      <font>
        <sz val="11"/>
        <name val="Calibri"/>
        <scheme val="minor"/>
      </font>
      <numFmt numFmtId="165" formatCode="&quot;$&quot;#,##0"/>
    </dxf>
  </rfmt>
  <rcc rId="359" sId="4" xfDxf="1" dxf="1" numFmtId="11">
    <oc r="CF18">
      <f>CD18+CE18</f>
    </oc>
    <nc r="CF18">
      <v>8898</v>
    </nc>
    <ndxf>
      <font>
        <sz val="11"/>
        <name val="Calibri"/>
        <scheme val="minor"/>
      </font>
      <numFmt numFmtId="165" formatCode="&quot;$&quot;#,##0"/>
    </ndxf>
  </rcc>
  <rcc rId="360" sId="4" xfDxf="1" dxf="1" numFmtId="11">
    <nc r="CK18">
      <v>8677</v>
    </nc>
    <ndxf>
      <font>
        <sz val="11"/>
        <name val="Calibri"/>
        <scheme val="minor"/>
      </font>
      <numFmt numFmtId="165" formatCode="&quot;$&quot;#,##0"/>
    </ndxf>
  </rcc>
  <rfmt sheetId="4" sqref="CN18" start="0" length="0">
    <dxf>
      <numFmt numFmtId="3" formatCode="#,##0"/>
    </dxf>
  </rfmt>
  <rcc rId="361" sId="4" xfDxf="1" dxf="1" numFmtId="4">
    <nc r="CN18">
      <v>8676</v>
    </nc>
    <ndxf>
      <font>
        <sz val="11"/>
        <name val="Calibri"/>
        <scheme val="minor"/>
      </font>
      <numFmt numFmtId="3" formatCode="#,##0"/>
    </ndxf>
  </rcc>
  <rcc rId="362" sId="4" numFmtId="11">
    <nc r="CK19">
      <v>0</v>
    </nc>
  </rcc>
  <rcc rId="363" sId="4">
    <nc r="CN19">
      <v>0</v>
    </nc>
  </rcc>
  <rcc rId="364" sId="4" xfDxf="1" dxf="1" numFmtId="11">
    <oc r="CF20">
      <f>CD20+CE20</f>
    </oc>
    <nc r="CF20">
      <v>916</v>
    </nc>
    <ndxf>
      <font>
        <sz val="11"/>
        <name val="Calibri"/>
        <scheme val="minor"/>
      </font>
      <numFmt numFmtId="165" formatCode="&quot;$&quot;#,##0"/>
    </ndxf>
  </rcc>
  <rcc rId="365" sId="4" xfDxf="1" dxf="1" numFmtId="11">
    <nc r="CK20">
      <v>1043</v>
    </nc>
    <ndxf>
      <font>
        <sz val="11"/>
        <name val="Calibri"/>
        <scheme val="minor"/>
      </font>
      <numFmt numFmtId="165" formatCode="&quot;$&quot;#,##0"/>
    </ndxf>
  </rcc>
  <rfmt sheetId="4" sqref="CN20" start="0" length="0">
    <dxf>
      <numFmt numFmtId="3" formatCode="#,##0"/>
    </dxf>
  </rfmt>
  <rcc rId="366" sId="4" xfDxf="1" dxf="1" numFmtId="4">
    <nc r="CN20">
      <v>1070</v>
    </nc>
    <ndxf>
      <font>
        <sz val="11"/>
        <name val="Calibri"/>
        <scheme val="minor"/>
      </font>
      <numFmt numFmtId="3" formatCode="#,##0"/>
    </ndxf>
  </rcc>
  <rcc rId="367" sId="4" xfDxf="1" dxf="1" numFmtId="11">
    <oc r="CF36">
      <f>CD36+CE36</f>
    </oc>
    <nc r="CF36">
      <v>929</v>
    </nc>
    <ndxf>
      <font>
        <sz val="11"/>
        <name val="Calibri"/>
        <scheme val="minor"/>
      </font>
      <numFmt numFmtId="165" formatCode="&quot;$&quot;#,##0"/>
    </ndxf>
  </rcc>
  <rcc rId="368" sId="4" numFmtId="11">
    <nc r="CK36">
      <v>1600</v>
    </nc>
  </rcc>
  <rfmt sheetId="4" sqref="CN36" start="0" length="0">
    <dxf>
      <numFmt numFmtId="3" formatCode="#,##0"/>
    </dxf>
  </rfmt>
  <rcc rId="369" sId="4" xfDxf="1" dxf="1" numFmtId="4">
    <nc r="CN36">
      <v>1489</v>
    </nc>
    <ndxf>
      <font>
        <sz val="11"/>
        <name val="Calibri"/>
        <scheme val="minor"/>
      </font>
      <numFmt numFmtId="3" formatCode="#,##0"/>
    </ndxf>
  </rcc>
  <rcc rId="370" sId="5">
    <oc r="CE35">
      <f>'FY 2016 by Agency'!CK35*Inflator!$E$17</f>
    </oc>
    <nc r="CE35">
      <f>'FY 2016 by Agency'!CK36*Inflator!$E$17</f>
    </nc>
  </rcc>
  <rcc rId="371" sId="5">
    <oc r="CH35">
      <f>'FY 2016 by Agency'!CN35*Inflator!$E$18</f>
    </oc>
    <nc r="CH35">
      <f>'FY 2016 by Agency'!CN36*Inflator!$E$18</f>
    </nc>
  </rcc>
  <rcc rId="372" sId="5">
    <oc r="CE36">
      <f>'FY 2016 by Agency'!CK36*Inflator!$E$17</f>
    </oc>
    <nc r="CE36">
      <f>'FY 2016 by Agency'!CK37*Inflator!$E$17</f>
    </nc>
  </rcc>
  <rcc rId="373" sId="5">
    <oc r="CH36">
      <f>'FY 2016 by Agency'!CN36*Inflator!$E$18</f>
    </oc>
    <nc r="CH36">
      <f>'FY 2016 by Agency'!CN37*Inflator!$E$18</f>
    </nc>
  </rcc>
  <rcc rId="374" sId="4" xfDxf="1" dxf="1" numFmtId="11">
    <oc r="CF21">
      <f>CD21+CE21</f>
    </oc>
    <nc r="CF21">
      <v>19192</v>
    </nc>
    <ndxf>
      <font>
        <sz val="11"/>
        <name val="Calibri"/>
        <scheme val="minor"/>
      </font>
      <numFmt numFmtId="165" formatCode="&quot;$&quot;#,##0"/>
    </ndxf>
  </rcc>
  <rcc rId="375" sId="4" xfDxf="1" dxf="1" numFmtId="11">
    <nc r="CK21">
      <v>21709</v>
    </nc>
    <ndxf>
      <font>
        <sz val="11"/>
        <name val="Calibri"/>
        <scheme val="minor"/>
      </font>
      <numFmt numFmtId="165" formatCode="&quot;$&quot;#,##0"/>
    </ndxf>
  </rcc>
  <rfmt sheetId="4" sqref="CN21" start="0" length="0">
    <dxf>
      <numFmt numFmtId="3" formatCode="#,##0"/>
    </dxf>
  </rfmt>
  <rcc rId="376" sId="4" xfDxf="1" dxf="1" numFmtId="4">
    <nc r="CN21">
      <v>21883</v>
    </nc>
    <ndxf>
      <font>
        <sz val="11"/>
        <name val="Calibri"/>
        <scheme val="minor"/>
      </font>
      <numFmt numFmtId="3" formatCode="#,##0"/>
    </ndxf>
  </rcc>
  <rcc rId="377" sId="4" numFmtId="11">
    <nc r="CK22">
      <v>0</v>
    </nc>
  </rcc>
  <rcc rId="378" sId="4">
    <nc r="CN22">
      <v>0</v>
    </nc>
  </rcc>
  <rcc rId="379" sId="4" xfDxf="1" dxf="1" numFmtId="11">
    <oc r="CF23">
      <f>CD23+CE23</f>
    </oc>
    <nc r="CF23">
      <v>12145</v>
    </nc>
    <ndxf>
      <font>
        <sz val="11"/>
        <name val="Calibri"/>
        <scheme val="minor"/>
      </font>
      <numFmt numFmtId="165" formatCode="&quot;$&quot;#,##0"/>
    </ndxf>
  </rcc>
  <rcc rId="380" sId="4" xfDxf="1" dxf="1" numFmtId="11">
    <nc r="CK23">
      <v>17645</v>
    </nc>
    <ndxf>
      <font>
        <sz val="11"/>
        <name val="Calibri"/>
        <scheme val="minor"/>
      </font>
      <numFmt numFmtId="165" formatCode="&quot;$&quot;#,##0"/>
    </ndxf>
  </rcc>
  <rfmt sheetId="4" sqref="CN23" start="0" length="0">
    <dxf>
      <numFmt numFmtId="3" formatCode="#,##0"/>
    </dxf>
  </rfmt>
  <rcc rId="381" sId="4" xfDxf="1" dxf="1" numFmtId="4">
    <nc r="CN23">
      <v>21343</v>
    </nc>
    <ndxf>
      <font>
        <sz val="11"/>
        <name val="Calibri"/>
        <scheme val="minor"/>
      </font>
      <numFmt numFmtId="3" formatCode="#,##0"/>
    </ndxf>
  </rcc>
  <rcc rId="382" sId="4" xfDxf="1" dxf="1" numFmtId="11">
    <oc r="CF24">
      <f>CD24+CE24</f>
    </oc>
    <nc r="CF24">
      <v>59775</v>
    </nc>
    <ndxf>
      <font>
        <sz val="11"/>
        <name val="Calibri"/>
        <scheme val="minor"/>
      </font>
      <numFmt numFmtId="165" formatCode="&quot;$&quot;#,##0"/>
    </ndxf>
  </rcc>
  <rfmt sheetId="4" xfDxf="1" sqref="CK24" start="0" length="0">
    <dxf>
      <font>
        <sz val="11"/>
        <name val="Calibri"/>
        <scheme val="minor"/>
      </font>
      <numFmt numFmtId="165" formatCode="&quot;$&quot;#,##0"/>
    </dxf>
  </rfmt>
  <rcc rId="383" sId="4" numFmtId="11">
    <nc r="CK24">
      <v>70116</v>
    </nc>
  </rcc>
  <rfmt sheetId="4" sqref="CN24" start="0" length="0">
    <dxf>
      <numFmt numFmtId="3" formatCode="#,##0"/>
    </dxf>
  </rfmt>
  <rcc rId="384" sId="4" xfDxf="1" dxf="1" numFmtId="4">
    <nc r="CN24">
      <v>75447</v>
    </nc>
    <ndxf>
      <font>
        <sz val="11"/>
        <name val="Calibri"/>
        <scheme val="minor"/>
      </font>
      <numFmt numFmtId="3" formatCode="#,##0"/>
    </ndxf>
  </rcc>
</revisions>
</file>

<file path=xl/revisions/revisionLog2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385" sId="4" odxf="1" dxf="1">
    <nc r="A119" t="inlineStr">
      <is>
        <t>Notes for Public Safety &amp; Justice:</t>
      </is>
    </nc>
    <odxf>
      <font>
        <b/>
        <i val="0"/>
        <sz val="11"/>
        <name val="Calibri"/>
        <scheme val="minor"/>
      </font>
    </odxf>
    <ndxf>
      <font>
        <b val="0"/>
        <i/>
        <sz val="11"/>
        <name val="Calibri"/>
        <scheme val="minor"/>
      </font>
    </ndxf>
  </rcc>
  <rcc rId="386" sId="4" odxf="1" dxf="1">
    <nc r="A120" t="inlineStr">
      <is>
        <t>* Formerly the Office of Citizen Complaints</t>
      </is>
    </nc>
    <odxf>
      <font>
        <b/>
        <i val="0"/>
        <sz val="11"/>
        <name val="Calibri"/>
        <scheme val="minor"/>
      </font>
    </odxf>
    <ndxf>
      <font>
        <b val="0"/>
        <i/>
        <sz val="11"/>
        <name val="Calibri"/>
        <scheme val="minor"/>
      </font>
    </ndxf>
  </rcc>
  <rcc rId="387" sId="4">
    <oc r="A121" t="inlineStr">
      <is>
        <t>Notes for Public Safety &amp; Justice:</t>
      </is>
    </oc>
    <nc r="A121" t="inlineStr">
      <is>
        <t>** Formerly the Forensic Health and Science Laboratory</t>
      </is>
    </nc>
  </rcc>
  <rcc rId="388" sId="4" odxf="1" dxf="1">
    <oc r="A122" t="inlineStr">
      <is>
        <t>* Formerly the Office of Citizen Complaints</t>
      </is>
    </oc>
    <nc r="A122" t="inlineStr">
      <is>
        <t>*** This agency was eliminated in 2006</t>
      </is>
    </nc>
    <odxf/>
    <ndxf/>
  </rcc>
  <rcc rId="389" sId="4" odxf="1" dxf="1">
    <oc r="A123" t="inlineStr">
      <is>
        <t>** Formerly the Forensic Health and Science Laboratory</t>
      </is>
    </oc>
    <nc r="A123" t="inlineStr">
      <is>
        <t>**** This line item added in 2008</t>
      </is>
    </nc>
    <odxf/>
    <ndxf/>
  </rcc>
  <rcc rId="390" sId="4" odxf="1" dxf="1">
    <oc r="A124" t="inlineStr">
      <is>
        <t>*** This agency was eliminated in 2006</t>
      </is>
    </oc>
    <nc r="A124" t="inlineStr">
      <is>
        <t xml:space="preserve">^Deputy Mayor for Public Safety and Justice iwas created in FY 2011, in FY 2012 absorbed the following agencies: Access to Justice and Poverty Loan Program (from Gov. Ops), Office of Victim Services, Office of the Justice Grants Administration, Corrections Information Council, Motor Vehicle Commission </t>
      </is>
    </nc>
    <odxf/>
    <ndxf/>
  </rcc>
  <rcc rId="391" sId="4">
    <oc r="A126" t="inlineStr">
      <is>
        <t xml:space="preserve">^Deputy Mayor for Public Safety and Justice iwas created in FY 2011, in FY 2012 absorbed the following agencies: Access to Justice and Poverty Loan Program (from Gov. Ops), Office of Victim Services, Office of the Justice Grants Administration, Corrections Information Council, Motor Vehicle Commission </t>
      </is>
    </oc>
    <nc r="A126"/>
  </rcc>
  <rcc rId="392" sId="4">
    <oc r="A111" t="inlineStr">
      <is>
        <t>Justice Grants Administration</t>
      </is>
    </oc>
    <nc r="A111" t="inlineStr">
      <is>
        <t>Justice Grants Administration^^^</t>
      </is>
    </nc>
  </rcc>
  <rfmt sheetId="4" xfDxf="1" sqref="A125" start="0" length="0">
    <dxf>
      <font>
        <i/>
        <sz val="11"/>
        <name val="Calibri"/>
        <scheme val="minor"/>
      </font>
    </dxf>
  </rfmt>
  <rcc rId="393" sId="4">
    <oc r="A125" t="inlineStr">
      <is>
        <t>**** This line item added in 2008</t>
      </is>
    </oc>
    <nc r="A125" t="inlineStr">
      <is>
        <t>^^^ JGA is under Office of Victim Services, as of FY16 (?)</t>
      </is>
    </nc>
  </rcc>
  <rcc rId="394" sId="4" odxf="1" dxf="1" numFmtId="11">
    <nc r="CN111">
      <v>0</v>
    </nc>
    <odxf>
      <numFmt numFmtId="0" formatCode="General"/>
    </odxf>
    <ndxf>
      <numFmt numFmtId="10" formatCode="&quot;$&quot;#,##0_);[Red]\(&quot;$&quot;#,##0\)"/>
    </ndxf>
  </rcc>
  <rcc rId="395" sId="4" numFmtId="11">
    <nc r="CI111">
      <v>0</v>
    </nc>
  </rcc>
  <rcc rId="396" sId="4" numFmtId="11">
    <nc r="CI109">
      <v>0</v>
    </nc>
  </rcc>
  <rcc rId="397" sId="4" odxf="1" dxf="1" numFmtId="11">
    <nc r="CN109">
      <v>0</v>
    </nc>
    <odxf>
      <numFmt numFmtId="0" formatCode="General"/>
    </odxf>
    <ndxf>
      <numFmt numFmtId="10" formatCode="&quot;$&quot;#,##0_);[Red]\(&quot;$&quot;#,##0\)"/>
    </ndxf>
  </rcc>
  <rcv guid="{50528D02-548E-47E0-94D7-D1E79CD3569C}" action="delete"/>
  <rcv guid="{50528D02-548E-47E0-94D7-D1E79CD3569C}" action="add"/>
</revisions>
</file>

<file path=xl/revisions/revisionLog2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398" sId="4" odxf="1" dxf="1" numFmtId="11">
    <nc r="CN99">
      <v>0</v>
    </nc>
    <odxf>
      <numFmt numFmtId="0" formatCode="General"/>
    </odxf>
    <ndxf>
      <numFmt numFmtId="10" formatCode="&quot;$&quot;#,##0_);[Red]\(&quot;$&quot;#,##0\)"/>
    </ndxf>
  </rcc>
  <rcc rId="399" sId="4" numFmtId="11">
    <nc r="CI99">
      <v>0</v>
    </nc>
  </rcc>
  <rcc rId="400" sId="4" numFmtId="11">
    <nc r="CI113">
      <v>0</v>
    </nc>
  </rcc>
  <rcc rId="401" sId="4" odxf="1" dxf="1" numFmtId="11">
    <nc r="CN113">
      <v>0</v>
    </nc>
    <odxf>
      <numFmt numFmtId="0" formatCode="General"/>
    </odxf>
    <ndxf>
      <numFmt numFmtId="10" formatCode="&quot;$&quot;#,##0_);[Red]\(&quot;$&quot;#,##0\)"/>
    </ndxf>
  </rcc>
  <rcc rId="402" sId="4" numFmtId="11">
    <nc r="CI116">
      <v>0</v>
    </nc>
  </rcc>
</revisions>
</file>

<file path=xl/revisions/revisionLog2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403" sId="4" numFmtId="11">
    <oc r="CF137">
      <f>CD137+CE137</f>
    </oc>
    <nc r="CF137">
      <v>45189</v>
    </nc>
  </rcc>
  <rcc rId="404" sId="4" odxf="1" dxf="1" numFmtId="11">
    <nc r="CN137">
      <v>31616</v>
    </nc>
    <odxf>
      <numFmt numFmtId="0" formatCode="General"/>
    </odxf>
    <ndxf>
      <numFmt numFmtId="10" formatCode="&quot;$&quot;#,##0_);[Red]\(&quot;$&quot;#,##0\)"/>
    </ndxf>
  </rcc>
  <rfmt sheetId="4" sqref="CN137" start="0" length="2147483647">
    <dxf>
      <font>
        <color auto="1"/>
      </font>
    </dxf>
  </rfmt>
</revisions>
</file>

<file path=xl/revisions/revisionLog2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4" sqref="CN142" start="0" length="0">
    <dxf>
      <numFmt numFmtId="10" formatCode="&quot;$&quot;#,##0_);[Red]\(&quot;$&quot;#,##0\)"/>
    </dxf>
  </rfmt>
</revisions>
</file>

<file path=xl/revisions/revisionLog2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405" sId="4" odxf="1" dxf="1" numFmtId="11">
    <nc r="CN116">
      <v>0</v>
    </nc>
    <odxf>
      <numFmt numFmtId="0" formatCode="General"/>
    </odxf>
    <ndxf>
      <numFmt numFmtId="10" formatCode="&quot;$&quot;#,##0_);[Red]\(&quot;$&quot;#,##0\)"/>
    </ndxf>
  </rcc>
</revisions>
</file>

<file path=xl/revisions/revisionLog2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406" sId="4" numFmtId="11">
    <oc r="CF59">
      <v>33728</v>
    </oc>
    <nc r="CF59">
      <v>35490</v>
    </nc>
  </rcc>
  <rcc rId="407" sId="4" numFmtId="11">
    <oc r="CF60">
      <f>CD60+CE60</f>
    </oc>
    <nc r="CF60">
      <v>10093</v>
    </nc>
  </rcc>
  <rcc rId="408" sId="4" numFmtId="11">
    <oc r="CF61">
      <f>CD61+CE61</f>
    </oc>
    <nc r="CF61">
      <v>7734</v>
    </nc>
  </rcc>
  <rcc rId="409" sId="4" numFmtId="11">
    <oc r="CF63">
      <f>CD63+CE63</f>
    </oc>
    <nc r="CF63">
      <v>2666</v>
    </nc>
  </rcc>
  <rcc rId="410" sId="4" numFmtId="11">
    <oc r="CF64">
      <f>CD64+CE64</f>
    </oc>
    <nc r="CF64">
      <v>14675</v>
    </nc>
  </rcc>
  <rcc rId="411" sId="4" numFmtId="11">
    <oc r="CF65">
      <f>CD65+CE65</f>
    </oc>
    <nc r="CF65">
      <v>34934</v>
    </nc>
  </rcc>
  <rcc rId="412" sId="4" numFmtId="11">
    <oc r="CF66">
      <f>CD66+CE66</f>
    </oc>
    <nc r="CF66">
      <v>67488</v>
    </nc>
  </rcc>
  <rcc rId="413" sId="4" numFmtId="11">
    <oc r="CF68">
      <f>CD68+CE68</f>
    </oc>
    <nc r="CF68">
      <v>1423</v>
    </nc>
  </rcc>
  <rcc rId="414" sId="4" numFmtId="11">
    <oc r="CF69">
      <f>CD69+CE69</f>
    </oc>
    <nc r="CF69">
      <v>34890</v>
    </nc>
  </rcc>
  <rcc rId="415" sId="4" numFmtId="11">
    <oc r="CF70">
      <f>CD70+CE70</f>
    </oc>
    <nc r="CF70">
      <v>2266</v>
    </nc>
  </rcc>
  <rcc rId="416" sId="4" numFmtId="11">
    <oc r="CF71">
      <f>CD71+CE71</f>
    </oc>
    <nc r="CF71">
      <v>14935</v>
    </nc>
  </rcc>
  <rcc rId="417" sId="4" numFmtId="11">
    <oc r="CF72">
      <f>CD72+CE72</f>
    </oc>
    <nc r="CF72">
      <v>5586</v>
    </nc>
  </rcc>
  <rcc rId="418" sId="4" numFmtId="11">
    <oc r="CF74">
      <f>CD74+CE74</f>
    </oc>
    <nc r="CF74">
      <v>11278</v>
    </nc>
  </rcc>
  <rcc rId="419" sId="4" numFmtId="11">
    <oc r="CF75">
      <f>CD75+CE75</f>
    </oc>
    <nc r="CF75">
      <v>6087</v>
    </nc>
  </rcc>
  <rcc rId="420" sId="4" numFmtId="11">
    <oc r="CF76">
      <f>CD76+CE76</f>
    </oc>
    <nc r="CF76">
      <v>16980</v>
    </nc>
  </rcc>
  <rcc rId="421" sId="4" numFmtId="11">
    <oc r="CF77">
      <f>CD77+CE77</f>
    </oc>
    <nc r="CF77">
      <v>5684</v>
    </nc>
  </rcc>
  <rcc rId="422" sId="4" numFmtId="11">
    <oc r="CF79">
      <f>CD79+CE79</f>
    </oc>
    <nc r="CF79">
      <v>38966</v>
    </nc>
  </rcc>
  <rcc rId="423" sId="4" numFmtId="11">
    <oc r="CF81">
      <f>CD81+CE81</f>
    </oc>
    <nc r="CF81">
      <v>22343</v>
    </nc>
  </rcc>
  <rcc rId="424" sId="4">
    <nc r="A83" t="inlineStr">
      <is>
        <t>sect 103 judgments</t>
      </is>
    </nc>
  </rcc>
  <rcc rId="425" sId="4" numFmtId="11">
    <nc r="CF83">
      <v>3798</v>
    </nc>
  </rcc>
  <rcc rId="426" sId="4" numFmtId="11">
    <oc r="CF62">
      <f>CD62+CE62</f>
    </oc>
    <nc r="CF62">
      <v>883</v>
    </nc>
  </rcc>
  <rcc rId="427" sId="4" numFmtId="11">
    <oc r="CI79">
      <f>28474+19787</f>
    </oc>
    <nc r="CI79">
      <v>0</v>
    </nc>
  </rcc>
  <rcc rId="428" sId="4">
    <nc r="CK59">
      <f>CJ59+CI59</f>
    </nc>
  </rcc>
  <rcc rId="429" sId="4">
    <nc r="CK60">
      <f>CJ60+CI60</f>
    </nc>
  </rcc>
  <rcc rId="430" sId="4">
    <nc r="CK61">
      <f>CJ61+CI61</f>
    </nc>
  </rcc>
  <rcc rId="431" sId="4">
    <nc r="CK62">
      <f>CJ62+CI62</f>
    </nc>
  </rcc>
  <rcc rId="432" sId="4">
    <nc r="CK63">
      <f>CJ63+CI63</f>
    </nc>
  </rcc>
  <rcc rId="433" sId="4">
    <nc r="CK64">
      <f>CJ64+CI64</f>
    </nc>
  </rcc>
  <rcc rId="434" sId="4" odxf="1">
    <nc r="CK65">
      <f>CJ65+CI65</f>
    </nc>
    <odxf/>
  </rcc>
  <rcc rId="435" sId="4">
    <nc r="CK66">
      <f>CJ66+CI66</f>
    </nc>
  </rcc>
  <rcc rId="436" sId="4" odxf="1">
    <nc r="CK67">
      <f>CJ67+CI67</f>
    </nc>
    <odxf/>
  </rcc>
  <rcc rId="437" sId="4">
    <nc r="CK68">
      <f>CJ68+CI68</f>
    </nc>
  </rcc>
  <rcc rId="438" sId="4">
    <nc r="CK69">
      <f>CJ69+CI69</f>
    </nc>
  </rcc>
  <rcc rId="439" sId="4" odxf="1">
    <nc r="CK70">
      <f>CJ70+CI70</f>
    </nc>
    <odxf/>
  </rcc>
  <rcc rId="440" sId="4">
    <nc r="CK71">
      <f>CJ71+CI71</f>
    </nc>
  </rcc>
  <rcc rId="441" sId="4" odxf="1">
    <nc r="CK72">
      <f>CJ72+CI72</f>
    </nc>
    <odxf/>
  </rcc>
  <rcc rId="442" sId="4" odxf="1">
    <nc r="CK73">
      <f>CJ73+CI73</f>
    </nc>
    <odxf/>
  </rcc>
  <rcc rId="443" sId="4">
    <nc r="CK74">
      <f>CJ74+CI74</f>
    </nc>
  </rcc>
  <rcc rId="444" sId="4" odxf="1">
    <nc r="CK75">
      <f>CJ75+CI75</f>
    </nc>
    <odxf/>
  </rcc>
  <rcc rId="445" sId="4" odxf="1">
    <nc r="CK76">
      <f>CJ76+CI76</f>
    </nc>
    <odxf/>
  </rcc>
  <rcc rId="446" sId="4" odxf="1">
    <nc r="CK77">
      <f>CJ77+CI77</f>
    </nc>
    <odxf/>
  </rcc>
  <rcc rId="447" sId="4" odxf="1">
    <nc r="CK78">
      <f>CJ78+CI78</f>
    </nc>
    <odxf/>
  </rcc>
  <rcc rId="448" sId="4" odxf="1">
    <nc r="CK79">
      <f>CJ79+CI79</f>
    </nc>
    <odxf/>
  </rcc>
  <rcc rId="449" sId="4" odxf="1" dxf="1">
    <nc r="CK80">
      <f>CJ80+CI80</f>
    </nc>
    <odxf/>
    <ndxf/>
  </rcc>
  <rcc rId="450" sId="4" odxf="1" dxf="1">
    <nc r="CK81">
      <f>CJ81+CI81</f>
    </nc>
    <odxf>
      <border outline="0">
        <bottom style="medium">
          <color indexed="64"/>
        </bottom>
      </border>
    </odxf>
    <ndxf>
      <border outline="0">
        <bottom/>
      </border>
    </ndxf>
  </rcc>
  <rcc rId="451" sId="4" odxf="1" dxf="1">
    <nc r="CK82">
      <f>CJ82+CI82</f>
    </nc>
    <odxf>
      <font>
        <b/>
        <sz val="11"/>
        <name val="Calibri"/>
        <scheme val="minor"/>
      </font>
    </odxf>
    <ndxf>
      <font>
        <b val="0"/>
        <sz val="11"/>
        <name val="Calibri"/>
        <scheme val="minor"/>
      </font>
    </ndxf>
  </rcc>
  <rcc rId="452" sId="4">
    <nc r="CN59">
      <v>33328</v>
    </nc>
  </rcc>
  <rcc rId="453" sId="4">
    <nc r="CN60">
      <v>8952</v>
    </nc>
  </rcc>
  <rcc rId="454" sId="4">
    <nc r="CN61">
      <v>8732</v>
    </nc>
  </rcc>
  <rcc rId="455" sId="4">
    <nc r="CN62">
      <v>12323</v>
    </nc>
  </rcc>
  <rcc rId="456" sId="4">
    <nc r="CQ62" t="inlineStr">
      <is>
        <t>note new agency</t>
      </is>
    </nc>
  </rcc>
  <rcc rId="457" sId="4">
    <nc r="CN63">
      <v>2781</v>
    </nc>
  </rcc>
  <rcc rId="458" sId="4">
    <nc r="CN64">
      <v>14741</v>
    </nc>
  </rcc>
  <rcc rId="459" sId="4">
    <nc r="CN66">
      <v>95172</v>
    </nc>
  </rcc>
  <rcc rId="460" sId="4">
    <nc r="CN68">
      <v>1636</v>
    </nc>
  </rcc>
  <rcc rId="461" sId="4">
    <nc r="CN69">
      <v>43764</v>
    </nc>
  </rcc>
  <rcc rId="462" sId="4">
    <nc r="CN70">
      <v>2585</v>
    </nc>
  </rcc>
  <rcc rId="463" sId="4">
    <nc r="CN71">
      <v>15196</v>
    </nc>
  </rcc>
  <rcc rId="464" sId="4">
    <nc r="CN72">
      <v>8142</v>
    </nc>
  </rcc>
  <rcc rId="465" sId="4">
    <nc r="CN73">
      <v>0</v>
    </nc>
  </rcc>
  <rcc rId="466" sId="4">
    <nc r="CN74">
      <v>12729</v>
    </nc>
  </rcc>
  <rcc rId="467" sId="4">
    <nc r="CN75">
      <v>7398</v>
    </nc>
  </rcc>
  <rcc rId="468" sId="4">
    <nc r="CN76">
      <v>25610</v>
    </nc>
  </rcc>
  <rcc rId="469" sId="4">
    <nc r="CN77">
      <v>0</v>
    </nc>
  </rcc>
  <rcc rId="470" sId="4">
    <nc r="CN65">
      <v>52078</v>
    </nc>
  </rcc>
  <rcc rId="471" sId="4">
    <nc r="CN67">
      <v>0</v>
    </nc>
  </rcc>
  <rcc rId="472" sId="4">
    <nc r="CN78">
      <v>0</v>
    </nc>
  </rcc>
  <rcc rId="473" sId="4">
    <nc r="CN79">
      <v>50179</v>
    </nc>
  </rcc>
  <rcc rId="474" sId="4">
    <nc r="CN80">
      <v>0</v>
    </nc>
  </rcc>
  <rcc rId="475" sId="4">
    <nc r="CN81">
      <v>28000</v>
    </nc>
  </rcc>
  <rcc rId="476" sId="4" odxf="1" dxf="1">
    <nc r="CN82">
      <f>SUM(CN59:CN81)</f>
    </nc>
    <odxf>
      <numFmt numFmtId="0" formatCode="General"/>
    </odxf>
    <ndxf>
      <numFmt numFmtId="165" formatCode="&quot;$&quot;#,##0"/>
    </ndxf>
  </rcc>
  <rfmt sheetId="4" sqref="CN59:CN81">
    <dxf>
      <numFmt numFmtId="173" formatCode="&quot;$&quot;#,##0.0"/>
    </dxf>
  </rfmt>
  <rfmt sheetId="4" sqref="CN59:CN81">
    <dxf>
      <numFmt numFmtId="165" formatCode="&quot;$&quot;#,##0"/>
    </dxf>
  </rfmt>
  <rcc rId="477" sId="4">
    <nc r="CQ64" t="inlineStr">
      <is>
        <t>check</t>
      </is>
    </nc>
  </rcc>
  <rcc rId="478" sId="4">
    <nc r="CQ65" t="inlineStr">
      <is>
        <t>check</t>
      </is>
    </nc>
  </rcc>
  <rcc rId="479" sId="4">
    <nc r="CQ66" t="inlineStr">
      <is>
        <t>check</t>
      </is>
    </nc>
  </rcc>
  <rcc rId="480" sId="4">
    <nc r="CQ77" t="inlineStr">
      <is>
        <t>check</t>
      </is>
    </nc>
  </rcc>
  <rcv guid="{AEFEB150-9213-45F5-A178-7AC71E46DB11}" action="delete"/>
  <rcv guid="{AEFEB150-9213-45F5-A178-7AC71E46DB11}" action="add"/>
</revisions>
</file>

<file path=xl/revisions/revisionLog2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4" sqref="CK112" start="0" length="0">
    <dxf/>
  </rfmt>
  <rfmt sheetId="4" sqref="CK116" start="0" length="0">
    <dxf/>
  </rfmt>
  <rfmt sheetId="4" sqref="CN117" start="0" length="0">
    <dxf>
      <numFmt numFmtId="10" formatCode="&quot;$&quot;#,##0_);[Red]\(&quot;$&quot;#,##0\)"/>
    </dxf>
  </rfmt>
</revisions>
</file>

<file path=xl/revisions/revisionLog2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481" sId="4" xfDxf="1" dxf="1" numFmtId="11">
    <oc r="CF25">
      <f>CD25+CE25</f>
    </oc>
    <nc r="CF25">
      <v>252948</v>
    </nc>
    <ndxf>
      <font>
        <sz val="11"/>
        <name val="Calibri"/>
        <scheme val="minor"/>
      </font>
      <numFmt numFmtId="165" formatCode="&quot;$&quot;#,##0"/>
    </ndxf>
  </rcc>
  <rfmt sheetId="4" xfDxf="1" sqref="CK25" start="0" length="0">
    <dxf>
      <font>
        <sz val="11"/>
        <name val="Calibri"/>
        <scheme val="minor"/>
      </font>
      <numFmt numFmtId="165" formatCode="&quot;$&quot;#,##0"/>
    </dxf>
  </rfmt>
  <rcc rId="482" sId="4" xfDxf="1" dxf="1" numFmtId="11">
    <nc r="CK25">
      <v>307184</v>
    </nc>
    <ndxf>
      <font>
        <sz val="11"/>
        <name val="Calibri"/>
        <scheme val="minor"/>
      </font>
      <numFmt numFmtId="165" formatCode="&quot;$&quot;#,##0"/>
    </ndxf>
  </rcc>
  <rfmt sheetId="4" sqref="CN25" start="0" length="0">
    <dxf>
      <numFmt numFmtId="3" formatCode="#,##0"/>
    </dxf>
  </rfmt>
  <rcc rId="483" sId="4" xfDxf="1" dxf="1" numFmtId="4">
    <nc r="CN25">
      <v>334003</v>
    </nc>
    <ndxf>
      <font>
        <sz val="11"/>
        <name val="Calibri"/>
        <scheme val="minor"/>
      </font>
      <numFmt numFmtId="3" formatCode="#,##0"/>
    </ndxf>
  </rcc>
  <rcc rId="484" sId="4" numFmtId="11">
    <nc r="CK37">
      <v>0</v>
    </nc>
  </rcc>
  <rcc rId="485" sId="4" numFmtId="11">
    <nc r="CK38">
      <v>0</v>
    </nc>
  </rcc>
  <rcc rId="486" sId="4" numFmtId="11">
    <nc r="CK39">
      <v>0</v>
    </nc>
  </rcc>
  <rcc rId="487" sId="4" numFmtId="11">
    <nc r="CK40">
      <v>0</v>
    </nc>
  </rcc>
  <rcc rId="488" sId="4" numFmtId="11">
    <nc r="CI40">
      <v>0</v>
    </nc>
  </rcc>
  <rcc rId="489" sId="4" numFmtId="11">
    <nc r="CI39">
      <v>0</v>
    </nc>
  </rcc>
  <rcc rId="490" sId="4" numFmtId="11">
    <nc r="CI38">
      <v>0</v>
    </nc>
  </rcc>
  <rcc rId="491" sId="4" numFmtId="11">
    <nc r="CI37">
      <v>0</v>
    </nc>
  </rcc>
  <rcc rId="492" sId="4">
    <nc r="CN37">
      <v>0</v>
    </nc>
  </rcc>
  <rcc rId="493" sId="4">
    <nc r="CN38">
      <v>0</v>
    </nc>
  </rcc>
  <rcc rId="494" sId="4">
    <nc r="CN39">
      <v>0</v>
    </nc>
  </rcc>
  <rcc rId="495" sId="4">
    <nc r="CN40">
      <v>0</v>
    </nc>
  </rcc>
  <rcc rId="496" sId="4" numFmtId="11">
    <oc r="CI41">
      <v>0</v>
    </oc>
    <nc r="CI41"/>
  </rcc>
  <rcc rId="497" sId="4" xfDxf="1" dxf="1" numFmtId="11">
    <oc r="CF26">
      <f>CD26+CE26</f>
    </oc>
    <nc r="CF26">
      <v>1068</v>
    </nc>
    <ndxf>
      <font>
        <sz val="11"/>
        <name val="Calibri"/>
        <scheme val="minor"/>
      </font>
      <numFmt numFmtId="165" formatCode="&quot;$&quot;#,##0"/>
    </ndxf>
  </rcc>
  <rcc rId="498" sId="4" xfDxf="1" dxf="1" numFmtId="11">
    <nc r="CK26">
      <v>1426</v>
    </nc>
    <ndxf>
      <font>
        <sz val="11"/>
        <name val="Calibri"/>
        <scheme val="minor"/>
      </font>
      <numFmt numFmtId="165" formatCode="&quot;$&quot;#,##0"/>
    </ndxf>
  </rcc>
  <rfmt sheetId="4" sqref="CN26" start="0" length="0">
    <dxf>
      <numFmt numFmtId="3" formatCode="#,##0"/>
    </dxf>
  </rfmt>
  <rcc rId="499" sId="4" xfDxf="1" dxf="1" numFmtId="4">
    <nc r="CN26">
      <v>1449</v>
    </nc>
    <ndxf>
      <font>
        <sz val="11"/>
        <name val="Calibri"/>
        <scheme val="minor"/>
      </font>
      <numFmt numFmtId="3" formatCode="#,##0"/>
    </ndxf>
  </rcc>
  <rcc rId="500" sId="4" xfDxf="1" dxf="1" numFmtId="11">
    <oc r="CF27">
      <f>CD27+CE27</f>
    </oc>
    <nc r="CF27">
      <v>6976</v>
    </nc>
    <ndxf>
      <font>
        <sz val="11"/>
        <name val="Calibri"/>
        <scheme val="minor"/>
      </font>
      <numFmt numFmtId="165" formatCode="&quot;$&quot;#,##0"/>
    </ndxf>
  </rcc>
  <rcc rId="501" sId="4" xfDxf="1" dxf="1" numFmtId="11">
    <nc r="CK27">
      <v>7240</v>
    </nc>
    <ndxf>
      <font>
        <sz val="11"/>
        <name val="Calibri"/>
        <scheme val="minor"/>
      </font>
      <numFmt numFmtId="165" formatCode="&quot;$&quot;#,##0"/>
    </ndxf>
  </rcc>
  <rfmt sheetId="4" sqref="CN27" start="0" length="0">
    <dxf>
      <numFmt numFmtId="3" formatCode="#,##0"/>
    </dxf>
  </rfmt>
  <rcc rId="502" sId="4" xfDxf="1" dxf="1" numFmtId="4">
    <nc r="CN27">
      <v>7390</v>
    </nc>
    <ndxf>
      <font>
        <sz val="11"/>
        <name val="Calibri"/>
        <scheme val="minor"/>
      </font>
      <numFmt numFmtId="3" formatCode="#,##0"/>
    </ndxf>
  </rcc>
  <rcc rId="503" sId="4" xfDxf="1" dxf="1" numFmtId="11">
    <oc r="CF28">
      <f>CD28+CE28</f>
    </oc>
    <nc r="CF28">
      <v>2593</v>
    </nc>
    <ndxf>
      <font>
        <sz val="11"/>
        <name val="Calibri"/>
        <scheme val="minor"/>
      </font>
      <numFmt numFmtId="165" formatCode="&quot;$&quot;#,##0"/>
    </ndxf>
  </rcc>
  <rcc rId="504" sId="4" xfDxf="1" dxf="1" numFmtId="11">
    <nc r="CK28">
      <v>2798</v>
    </nc>
    <ndxf>
      <font>
        <sz val="11"/>
        <name val="Calibri"/>
        <scheme val="minor"/>
      </font>
      <numFmt numFmtId="165" formatCode="&quot;$&quot;#,##0"/>
    </ndxf>
  </rcc>
  <rfmt sheetId="4" sqref="CN28" start="0" length="0">
    <dxf>
      <numFmt numFmtId="3" formatCode="#,##0"/>
    </dxf>
  </rfmt>
  <rcc rId="505" sId="4" xfDxf="1" dxf="1" numFmtId="4">
    <nc r="CN28">
      <v>2677</v>
    </nc>
    <ndxf>
      <font>
        <sz val="11"/>
        <name val="Calibri"/>
        <scheme val="minor"/>
      </font>
      <numFmt numFmtId="3" formatCode="#,##0"/>
    </ndxf>
  </rcc>
  <rfmt sheetId="4" xfDxf="1" sqref="CK29" start="0" length="0">
    <dxf>
      <font>
        <sz val="11"/>
        <name val="Calibri"/>
        <scheme val="minor"/>
      </font>
      <numFmt numFmtId="165" formatCode="&quot;$&quot;#,##0"/>
    </dxf>
  </rfmt>
  <rcc rId="506" sId="4" xfDxf="1" dxf="1" numFmtId="11">
    <nc r="CK29">
      <v>1253</v>
    </nc>
    <ndxf>
      <font>
        <sz val="11"/>
        <name val="Calibri"/>
        <scheme val="minor"/>
      </font>
      <numFmt numFmtId="165" formatCode="&quot;$&quot;#,##0"/>
    </ndxf>
  </rcc>
  <rcc rId="507" sId="4" xfDxf="1" dxf="1" numFmtId="11">
    <oc r="CF29">
      <f>CD29+CE29</f>
    </oc>
    <nc r="CF29">
      <v>1163</v>
    </nc>
    <ndxf>
      <font>
        <sz val="11"/>
        <name val="Calibri"/>
        <scheme val="minor"/>
      </font>
      <numFmt numFmtId="165" formatCode="&quot;$&quot;#,##0"/>
    </ndxf>
  </rcc>
  <rfmt sheetId="4" sqref="CN29" start="0" length="0">
    <dxf>
      <numFmt numFmtId="3" formatCode="#,##0"/>
    </dxf>
  </rfmt>
  <rcc rId="508" sId="4" xfDxf="1" dxf="1" numFmtId="4">
    <nc r="CN29">
      <v>1249</v>
    </nc>
    <ndxf>
      <font>
        <sz val="11"/>
        <name val="Calibri"/>
        <scheme val="minor"/>
      </font>
      <numFmt numFmtId="3" formatCode="#,##0"/>
    </ndxf>
  </rcc>
  <rcc rId="509" sId="4" xfDxf="1" dxf="1" numFmtId="11">
    <oc r="CF30">
      <f>CD30+CE30</f>
    </oc>
    <nc r="CF30">
      <v>1465</v>
    </nc>
    <ndxf>
      <font>
        <sz val="11"/>
        <name val="Calibri"/>
        <scheme val="minor"/>
      </font>
      <numFmt numFmtId="165" formatCode="&quot;$&quot;#,##0"/>
    </ndxf>
  </rcc>
  <rcc rId="510" sId="4" xfDxf="1" dxf="1" numFmtId="11">
    <nc r="CK30">
      <v>1570</v>
    </nc>
    <ndxf>
      <font>
        <sz val="11"/>
        <name val="Calibri"/>
        <scheme val="minor"/>
      </font>
      <numFmt numFmtId="165" formatCode="&quot;$&quot;#,##0"/>
    </ndxf>
  </rcc>
  <rfmt sheetId="4" sqref="CN30" start="0" length="0">
    <dxf>
      <numFmt numFmtId="3" formatCode="#,##0"/>
    </dxf>
  </rfmt>
  <rcc rId="511" sId="4" xfDxf="1" dxf="1" numFmtId="4">
    <nc r="CN30">
      <v>1627</v>
    </nc>
    <ndxf>
      <font>
        <sz val="11"/>
        <name val="Calibri"/>
        <scheme val="minor"/>
      </font>
      <numFmt numFmtId="3" formatCode="#,##0"/>
    </ndxf>
  </rcc>
  <rcc rId="512" sId="4" xfDxf="1" dxf="1" numFmtId="11">
    <nc r="CK31">
      <v>450</v>
    </nc>
    <ndxf>
      <font>
        <sz val="11"/>
        <name val="Calibri"/>
        <scheme val="minor"/>
      </font>
      <numFmt numFmtId="165" formatCode="&quot;$&quot;#,##0"/>
    </ndxf>
  </rcc>
  <rcc rId="513" sId="4" xfDxf="1" dxf="1">
    <nc r="CN31">
      <v>472</v>
    </nc>
    <ndxf>
      <font>
        <sz val="11"/>
        <name val="Calibri"/>
        <scheme val="minor"/>
      </font>
    </ndxf>
  </rcc>
  <rcc rId="514" sId="4" xfDxf="1" dxf="1" numFmtId="11">
    <oc r="CF32">
      <f>CD32+CE32</f>
    </oc>
    <nc r="CF32">
      <v>60391</v>
    </nc>
    <ndxf>
      <font>
        <sz val="11"/>
        <name val="Calibri"/>
        <scheme val="minor"/>
      </font>
      <numFmt numFmtId="165" formatCode="&quot;$&quot;#,##0"/>
    </ndxf>
  </rcc>
  <rcc rId="515" sId="4" xfDxf="1" dxf="1" numFmtId="11">
    <nc r="CK32">
      <v>67831</v>
    </nc>
    <ndxf>
      <font>
        <sz val="11"/>
        <name val="Calibri"/>
        <scheme val="minor"/>
      </font>
      <numFmt numFmtId="165" formatCode="&quot;$&quot;#,##0"/>
    </ndxf>
  </rcc>
  <rfmt sheetId="4" sqref="CN32" start="0" length="0">
    <dxf>
      <numFmt numFmtId="3" formatCode="#,##0"/>
    </dxf>
  </rfmt>
  <rcc rId="516" sId="4" xfDxf="1" dxf="1" numFmtId="4">
    <nc r="CN32">
      <v>58220</v>
    </nc>
    <ndxf>
      <font>
        <sz val="11"/>
        <name val="Calibri"/>
        <scheme val="minor"/>
      </font>
      <numFmt numFmtId="3" formatCode="#,##0"/>
    </ndxf>
  </rcc>
  <rcc rId="517" sId="4" numFmtId="11">
    <nc r="CK33">
      <v>226</v>
    </nc>
  </rcc>
  <rfmt sheetId="4" sqref="CN33" start="0" length="0">
    <dxf>
      <numFmt numFmtId="10" formatCode="&quot;$&quot;#,##0_);[Red]\(&quot;$&quot;#,##0\)"/>
    </dxf>
  </rfmt>
  <rfmt sheetId="4" xfDxf="1" sqref="CN33" start="0" length="0">
    <dxf>
      <font>
        <sz val="11"/>
        <name val="Calibri"/>
        <scheme val="minor"/>
      </font>
      <numFmt numFmtId="10" formatCode="&quot;$&quot;#,##0_);[Red]\(&quot;$&quot;#,##0\)"/>
    </dxf>
  </rfmt>
  <rrc rId="518" sId="5" ref="A33:XFD33" action="insertRow">
    <undo index="4" exp="area" ref3D="1" dr="$A$236:$XFD$250" dn="Z_F784130D_F647_4ABA_8943_C79CA5B0FDC4_.wvu.Rows" sId="5"/>
    <undo index="2" exp="area" ref3D="1" dr="$A$171:$XFD$171" dn="Z_F784130D_F647_4ABA_8943_C79CA5B0FDC4_.wvu.Rows" sId="5"/>
    <undo index="2" exp="area" ref3D="1" dr="$AZ$1:$BH$1048576" dn="Z_F784130D_F647_4ABA_8943_C79CA5B0FDC4_.wvu.Cols" sId="5"/>
    <undo index="1" exp="area" ref3D="1" dr="$AJ$1:$AM$1048576" dn="Z_F784130D_F647_4ABA_8943_C79CA5B0FDC4_.wvu.Cols" sId="5"/>
    <undo index="10" exp="area" ref3D="1" dr="$A$236:$XFD$250" dn="Z_E81D05A4_5B21_42D3_A8D3_906ABCABC0F4_.wvu.Rows" sId="5"/>
    <undo index="8" exp="area" ref3D="1" dr="$A$171:$XFD$171" dn="Z_E81D05A4_5B21_42D3_A8D3_906ABCABC0F4_.wvu.Rows" sId="5"/>
    <undo index="6" exp="area" ref3D="1" dr="$A$164:$XFD$164" dn="Z_E81D05A4_5B21_42D3_A8D3_906ABCABC0F4_.wvu.Rows" sId="5"/>
    <undo index="4" exp="area" ref3D="1" dr="$BO$1:$BT$1048576" dn="Z_E81D05A4_5B21_42D3_A8D3_906ABCABC0F4_.wvu.Cols" sId="5"/>
    <undo index="2" exp="area" ref3D="1" dr="$AI$1:$BK$1048576" dn="Z_E81D05A4_5B21_42D3_A8D3_906ABCABC0F4_.wvu.Cols" sId="5"/>
    <undo index="1" exp="area" ref3D="1" dr="$AD$1:$AE$1048576" dn="Z_E81D05A4_5B21_42D3_A8D3_906ABCABC0F4_.wvu.Cols" sId="5"/>
    <undo index="2" exp="area" ref3D="1" dr="$A$236:$XFD$250" dn="Z_E44F5FE1_54FC_4AB3_84F9_7D65ACF2DDE7_.wvu.Rows" sId="5"/>
    <undo index="2" exp="area" ref3D="1" dr="$BO$1:$BT$1048576" dn="Z_E44F5FE1_54FC_4AB3_84F9_7D65ACF2DDE7_.wvu.Cols" sId="5"/>
    <undo index="1" exp="area" ref3D="1" dr="$AI$1:$BK$1048576" dn="Z_E44F5FE1_54FC_4AB3_84F9_7D65ACF2DDE7_.wvu.Cols" sId="5"/>
    <undo index="2" exp="area" ref3D="1" dr="$A$236:$XFD$250" dn="Z_CBA65C9F_528B_4CA5_AFDD_C38CD40775BB_.wvu.Rows" sId="5"/>
    <undo index="0" exp="area" ref3D="1" dr="$AJ$1:$AM$1048576" dn="Z_CBA65C9F_528B_4CA5_AFDD_C38CD40775BB_.wvu.Cols" sId="5"/>
    <undo index="12" exp="area" ref3D="1" dr="$A$236:$XFD$250" dn="Z_9D4F0482_B164_4671_805A_E0D2D4DD4720_.wvu.Rows" sId="5"/>
    <undo index="10" exp="area" ref3D="1" dr="$A$171:$XFD$171" dn="Z_9D4F0482_B164_4671_805A_E0D2D4DD4720_.wvu.Rows" sId="5"/>
    <undo index="8" exp="area" ref3D="1" dr="$A$164:$XFD$164" dn="Z_9D4F0482_B164_4671_805A_E0D2D4DD4720_.wvu.Rows" sId="5"/>
    <undo index="6" exp="area" ref3D="1" dr="$A$156:$XFD$156" dn="Z_9D4F0482_B164_4671_805A_E0D2D4DD4720_.wvu.Rows" sId="5"/>
    <undo index="2" exp="area" ref3D="1" dr="$AI$1:$BJ$1048576" dn="Z_9D4F0482_B164_4671_805A_E0D2D4DD4720_.wvu.Cols" sId="5"/>
    <undo index="1" exp="area" ref3D="1" dr="$AD$1:$AE$1048576" dn="Z_9D4F0482_B164_4671_805A_E0D2D4DD4720_.wvu.Cols" sId="5"/>
    <undo index="2" exp="area" ref3D="1" dr="$A$236:$XFD$250" dn="Z_94DA13B6_7351_40F3_8CF7_A4211EC439DA_.wvu.Rows" sId="5"/>
    <undo index="4" exp="area" ref3D="1" dr="$AP$1:$AS$1048576" dn="Z_94DA13B6_7351_40F3_8CF7_A4211EC439DA_.wvu.Cols" sId="5"/>
    <undo index="2" exp="area" ref3D="1" dr="$AJ$1:$AM$1048576" dn="Z_94DA13B6_7351_40F3_8CF7_A4211EC439DA_.wvu.Cols" sId="5"/>
    <undo index="1" exp="area" ref3D="1" dr="$V$1:$AB$1048576" dn="Z_94DA13B6_7351_40F3_8CF7_A4211EC439DA_.wvu.Cols" sId="5"/>
    <undo index="2" exp="area" ref3D="1" dr="$A$236:$XFD$250" dn="Z_8F508F4D_4777_42BE_9707_8CB9355F7BDB_.wvu.Rows" sId="5"/>
    <undo index="2" exp="area" ref3D="1" dr="$AJ$1:$AM$1048576" dn="Z_8F508F4D_4777_42BE_9707_8CB9355F7BDB_.wvu.Cols" sId="5"/>
    <undo index="1" exp="area" ref3D="1" dr="$V$1:$AB$1048576" dn="Z_8F508F4D_4777_42BE_9707_8CB9355F7BDB_.wvu.Cols" sId="5"/>
    <undo index="2" exp="area" ref3D="1" dr="$A$236:$XFD$250" dn="Z_7A9890A5_7CC2_466F_AA52_39E8D428DC1C_.wvu.Rows" sId="5"/>
    <undo index="4" exp="area" ref3D="1" dr="$BX$1:$BX$1048576" dn="Z_7A9890A5_7CC2_466F_AA52_39E8D428DC1C_.wvu.Cols" sId="5"/>
    <undo index="2" exp="area" ref3D="1" dr="$AP$1:$AS$1048576" dn="Z_7A9890A5_7CC2_466F_AA52_39E8D428DC1C_.wvu.Cols" sId="5"/>
    <undo index="1" exp="area" ref3D="1" dr="$AJ$1:$AM$1048576" dn="Z_7A9890A5_7CC2_466F_AA52_39E8D428DC1C_.wvu.Cols" sId="5"/>
    <undo index="0" exp="area" ref3D="1" dr="$A$236:$XFD$251" dn="Z_78CA186D_B240_44D5_8A24_D241DE0B0FD9_.wvu.Rows" sId="5"/>
    <undo index="6" exp="area" ref3D="1" dr="$BU$1:$BX$1048576" dn="Z_78CA186D_B240_44D5_8A24_D241DE0B0FD9_.wvu.Cols" sId="5"/>
    <undo index="4" exp="area" ref3D="1" dr="$BO$1:$BQ$1048576" dn="Z_78CA186D_B240_44D5_8A24_D241DE0B0FD9_.wvu.Cols" sId="5"/>
    <undo index="2" exp="area" ref3D="1" dr="$AI$1:$BK$1048576" dn="Z_78CA186D_B240_44D5_8A24_D241DE0B0FD9_.wvu.Cols" sId="5"/>
    <undo index="1" exp="area" ref3D="1" dr="$AD$1:$AE$1048576" dn="Z_78CA186D_B240_44D5_8A24_D241DE0B0FD9_.wvu.Cols" sId="5"/>
    <undo index="0" exp="area" ref3D="1" dr="$A$236:$XFD$251" dn="Z_70E2A0B1_0EA6_43AE_8715_395179465BE5_.wvu.Rows" sId="5"/>
    <undo index="4" exp="area" ref3D="1" dr="$BU$1:$BX$1048576" dn="Z_70E2A0B1_0EA6_43AE_8715_395179465BE5_.wvu.Cols" sId="5"/>
    <undo index="2" exp="area" ref3D="1" dr="$BO$1:$BQ$1048576" dn="Z_70E2A0B1_0EA6_43AE_8715_395179465BE5_.wvu.Cols" sId="5"/>
    <undo index="1" exp="area" ref3D="1" dr="$AI$1:$BK$1048576" dn="Z_70E2A0B1_0EA6_43AE_8715_395179465BE5_.wvu.Cols" sId="5"/>
    <undo index="2" exp="area" ref3D="1" dr="$A$236:$XFD$250" dn="Z_567C3053_2D8E_4705_8DC7_18896C5303CA_.wvu.Rows" sId="5"/>
    <undo index="4" exp="area" ref3D="1" dr="$BX$1:$BX$1048576" dn="Z_567C3053_2D8E_4705_8DC7_18896C5303CA_.wvu.Cols" sId="5"/>
    <undo index="2" exp="area" ref3D="1" dr="$AP$1:$AS$1048576" dn="Z_567C3053_2D8E_4705_8DC7_18896C5303CA_.wvu.Cols" sId="5"/>
    <undo index="1" exp="area" ref3D="1" dr="$AJ$1:$AM$1048576" dn="Z_567C3053_2D8E_4705_8DC7_18896C5303CA_.wvu.Cols" sId="5"/>
    <undo index="0" exp="area" ref3D="1" dr="$A$236:$XFD$251" dn="Z_5102CD51_6323_4C0C_991F_AF8276ECBB13_.wvu.Rows" sId="5"/>
    <undo index="6" exp="area" ref3D="1" dr="$BU$1:$BX$1048576" dn="Z_5102CD51_6323_4C0C_991F_AF8276ECBB13_.wvu.Cols" sId="5"/>
    <undo index="4" exp="area" ref3D="1" dr="$BO$1:$BQ$1048576" dn="Z_5102CD51_6323_4C0C_991F_AF8276ECBB13_.wvu.Cols" sId="5"/>
    <undo index="2" exp="area" ref3D="1" dr="$AI$1:$BK$1048576" dn="Z_5102CD51_6323_4C0C_991F_AF8276ECBB13_.wvu.Cols" sId="5"/>
    <undo index="1" exp="area" ref3D="1" dr="$AD$1:$AE$1048576" dn="Z_5102CD51_6323_4C0C_991F_AF8276ECBB13_.wvu.Cols" sId="5"/>
    <undo index="10" exp="area" ref3D="1" dr="$A$236:$XFD$250" dn="Z_455630F5_40FC_47DB_8AD4_712C20B8FB91_.wvu.Rows" sId="5"/>
    <undo index="8" exp="area" ref3D="1" dr="$A$171:$XFD$171" dn="Z_455630F5_40FC_47DB_8AD4_712C20B8FB91_.wvu.Rows" sId="5"/>
    <undo index="6" exp="area" ref3D="1" dr="$A$164:$XFD$164" dn="Z_455630F5_40FC_47DB_8AD4_712C20B8FB91_.wvu.Rows" sId="5"/>
    <undo index="2" exp="area" ref3D="1" dr="$AI$1:$BK$1048576" dn="Z_455630F5_40FC_47DB_8AD4_712C20B8FB91_.wvu.Cols" sId="5"/>
    <undo index="1" exp="area" ref3D="1" dr="$AD$1:$AE$1048576" dn="Z_455630F5_40FC_47DB_8AD4_712C20B8FB91_.wvu.Cols" sId="5"/>
    <undo index="2" exp="area" ref3D="1" dr="$A$236:$XFD$250" dn="Z_1E5198E1_BA46_4CE0_8628_4F695B0D7A3B_.wvu.Rows" sId="5"/>
    <undo index="0" exp="area" ref3D="1" dr="$A$236:$XFD$251" dn="Z_08B0A6E6_0C62_4331_9E9A_05DFF5B8DF5B_.wvu.Rows" sId="5"/>
    <undo index="6" exp="area" ref3D="1" dr="$BU$1:$BX$1048576" dn="Z_08B0A6E6_0C62_4331_9E9A_05DFF5B8DF5B_.wvu.Cols" sId="5"/>
    <undo index="4" exp="area" ref3D="1" dr="$BO$1:$BQ$1048576" dn="Z_08B0A6E6_0C62_4331_9E9A_05DFF5B8DF5B_.wvu.Cols" sId="5"/>
    <undo index="2" exp="area" ref3D="1" dr="$AI$1:$BK$1048576" dn="Z_08B0A6E6_0C62_4331_9E9A_05DFF5B8DF5B_.wvu.Cols" sId="5"/>
    <undo index="1" exp="area" ref3D="1" dr="$AD$1:$AE$1048576" dn="Z_08B0A6E6_0C62_4331_9E9A_05DFF5B8DF5B_.wvu.Cols" sId="5"/>
  </rrc>
  <rm rId="519" sheetId="5" source="CE34" destination="CE33" sourceSheetId="5">
    <rfmt sheetId="5" sqref="CE33" start="0" length="0">
      <dxf>
        <font>
          <sz val="11"/>
          <color auto="1"/>
          <name val="Calibri"/>
          <scheme val="minor"/>
        </font>
        <numFmt numFmtId="165" formatCode="&quot;$&quot;#,##0"/>
      </dxf>
    </rfmt>
  </rm>
  <rm rId="520" sheetId="5" source="CF34" destination="CF33" sourceSheetId="5">
    <rfmt sheetId="5" sqref="CF33" start="0" length="0">
      <dxf>
        <font>
          <sz val="11"/>
          <color auto="1"/>
          <name val="Calibri"/>
          <scheme val="minor"/>
        </font>
        <numFmt numFmtId="165" formatCode="&quot;$&quot;#,##0"/>
      </dxf>
    </rfmt>
  </rm>
  <rm rId="521" sheetId="5" source="CG34" destination="CG33" sourceSheetId="5">
    <rfmt sheetId="5" s="1" sqref="CG33" start="0" length="0">
      <dxf>
        <font>
          <sz val="11"/>
          <color auto="1"/>
          <name val="Calibri"/>
          <scheme val="minor"/>
        </font>
        <numFmt numFmtId="164" formatCode="0.0%"/>
      </dxf>
    </rfmt>
  </rm>
  <rm rId="522" sheetId="5" source="CH34" destination="CH33" sourceSheetId="5">
    <rfmt sheetId="5" sqref="CH33" start="0" length="0">
      <dxf>
        <font>
          <sz val="11"/>
          <color auto="1"/>
          <name val="Calibri"/>
          <scheme val="minor"/>
        </font>
        <numFmt numFmtId="172" formatCode="&quot;$&quot;#,##0.00"/>
      </dxf>
    </rfmt>
  </rm>
  <rm rId="523" sheetId="5" source="CI34" destination="CI33" sourceSheetId="5">
    <rfmt sheetId="5" sqref="CI33" start="0" length="0">
      <dxf>
        <font>
          <sz val="11"/>
          <color auto="1"/>
          <name val="Calibri"/>
          <scheme val="minor"/>
        </font>
        <numFmt numFmtId="172" formatCode="&quot;$&quot;#,##0.00"/>
      </dxf>
    </rfmt>
  </rm>
  <rm rId="524" sheetId="5" source="CJ34" destination="CJ33" sourceSheetId="5">
    <rfmt sheetId="5" sqref="CJ33" start="0" length="0">
      <dxf>
        <font>
          <sz val="11"/>
          <color auto="1"/>
          <name val="Calibri"/>
          <scheme val="minor"/>
        </font>
      </dxf>
    </rfmt>
  </rm>
  <rfmt sheetId="5" sqref="CE34" start="0" length="0">
    <dxf>
      <numFmt numFmtId="165" formatCode="&quot;$&quot;#,##0"/>
    </dxf>
  </rfmt>
  <rfmt sheetId="5" sqref="CF34" start="0" length="0">
    <dxf>
      <numFmt numFmtId="165" formatCode="&quot;$&quot;#,##0"/>
    </dxf>
  </rfmt>
  <rfmt sheetId="5" s="1" sqref="CG34" start="0" length="0">
    <dxf>
      <numFmt numFmtId="164" formatCode="0.0%"/>
    </dxf>
  </rfmt>
  <rfmt sheetId="5" sqref="CH34" start="0" length="0">
    <dxf>
      <numFmt numFmtId="172" formatCode="&quot;$&quot;#,##0.00"/>
    </dxf>
  </rfmt>
  <rfmt sheetId="5" sqref="CI34" start="0" length="0">
    <dxf>
      <numFmt numFmtId="172" formatCode="&quot;$&quot;#,##0.00"/>
    </dxf>
  </rfmt>
  <rfmt sheetId="5" sqref="CJ34" start="0" length="0">
    <dxf/>
  </rfmt>
  <rcc rId="525" sId="5">
    <nc r="A33" t="inlineStr">
      <is>
        <t>Statehood Initiative</t>
      </is>
    </nc>
  </rcc>
  <rcc rId="526" sId="4" numFmtId="11">
    <nc r="CN33">
      <v>230</v>
    </nc>
  </rcc>
  <rcc rId="527" sId="5" numFmtId="11">
    <oc r="CH33">
      <f>'FY 2016 by Agency'!CN33*Inflator!$E$18</f>
    </oc>
    <nc r="CH33">
      <f>'FY 2016 by Agency'!CN33*Inflator!$E$18</f>
    </nc>
  </rcc>
  <rcc rId="528" sId="5">
    <oc r="CF33">
      <f>CE33-CB34</f>
    </oc>
    <nc r="CF33">
      <f>CE33-CB33</f>
    </nc>
  </rcc>
  <rcc rId="529" sId="5">
    <oc r="CG33">
      <f>CF33/CB34</f>
    </oc>
    <nc r="CG33">
      <f>CF33/CB33</f>
    </nc>
  </rcc>
  <rcc rId="530" sId="4" xfDxf="1" dxf="1" numFmtId="11">
    <oc r="CF34">
      <f>CD34+CE34</f>
    </oc>
    <nc r="CF34">
      <v>13010</v>
    </nc>
    <ndxf>
      <font>
        <sz val="11"/>
        <name val="Calibri"/>
        <scheme val="minor"/>
      </font>
      <numFmt numFmtId="165" formatCode="&quot;$&quot;#,##0"/>
    </ndxf>
  </rcc>
  <rfmt sheetId="4" xfDxf="1" sqref="CK34" start="0" length="0">
    <dxf>
      <font>
        <sz val="11"/>
        <name val="Calibri"/>
        <scheme val="minor"/>
      </font>
      <numFmt numFmtId="165" formatCode="&quot;$&quot;#,##0"/>
    </dxf>
  </rfmt>
  <rcc rId="531" sId="4" numFmtId="11">
    <nc r="CK34">
      <v>14348</v>
    </nc>
  </rcc>
  <rfmt sheetId="4" sqref="CN34" start="0" length="0">
    <dxf>
      <numFmt numFmtId="3" formatCode="#,##0"/>
    </dxf>
  </rfmt>
  <rcc rId="532" sId="4" xfDxf="1" dxf="1" numFmtId="4">
    <nc r="CN34">
      <v>14595</v>
    </nc>
    <ndxf>
      <font>
        <sz val="11"/>
        <name val="Calibri"/>
        <scheme val="minor"/>
      </font>
      <numFmt numFmtId="3" formatCode="#,##0"/>
    </ndxf>
  </rcc>
  <rcc rId="533" sId="5" numFmtId="11">
    <oc r="CE33">
      <f>'FY 2016 by Agency'!CK33*Inflator!$E$17</f>
    </oc>
    <nc r="CE33">
      <f>'FY 2016 by Agency'!CK33*Inflator!$E$17</f>
    </nc>
  </rcc>
  <rcc rId="534" sId="5">
    <nc r="CE34">
      <f>'FY 2016 by Agency'!CK34*Inflator!$E$17</f>
    </nc>
  </rcc>
  <rcc rId="535" sId="5">
    <nc r="CF34">
      <f>CE34-CB34</f>
    </nc>
  </rcc>
  <rcc rId="536" sId="5">
    <nc r="CG34">
      <f>CF34/CB34</f>
    </nc>
  </rcc>
  <rcc rId="537" sId="5">
    <nc r="CH34">
      <f>'FY 2016 by Agency'!CN34*Inflator!$E$18</f>
    </nc>
  </rcc>
  <rcc rId="538" sId="5">
    <nc r="CI34">
      <f>CH34-CE34</f>
    </nc>
  </rcc>
  <rcc rId="539" sId="5">
    <nc r="CJ34">
      <f>CI34/CE34</f>
    </nc>
  </rcc>
  <rcc rId="540" sId="5">
    <oc r="CE35">
      <f>'FY 2016 by Agency'!CK34*Inflator!$E$17</f>
    </oc>
    <nc r="CE35">
      <f>'FY 2016 by Agency'!CK35*Inflator!$E$17</f>
    </nc>
  </rcc>
  <rcc rId="541" sId="5">
    <oc r="CF35">
      <f>CE35-CB35</f>
    </oc>
    <nc r="CF35">
      <f>CE35-CB35</f>
    </nc>
  </rcc>
  <rcc rId="542" sId="5">
    <oc r="CG35">
      <f>CF35/CB35</f>
    </oc>
    <nc r="CG35">
      <f>CF35/CB35</f>
    </nc>
  </rcc>
  <rcc rId="543" sId="5">
    <oc r="CH35">
      <f>'FY 2016 by Agency'!CN34*Inflator!$E$18</f>
    </oc>
    <nc r="CH35">
      <f>'FY 2016 by Agency'!CN35*Inflator!$E$18</f>
    </nc>
  </rcc>
  <rcc rId="544" sId="5">
    <oc r="CI35">
      <f>CH35-CE35</f>
    </oc>
    <nc r="CI35">
      <f>CH35-CE35</f>
    </nc>
  </rcc>
  <rcc rId="545" sId="5">
    <oc r="CJ35">
      <f>CI35/CE35</f>
    </oc>
    <nc r="CJ35">
      <f>CI35/CE35</f>
    </nc>
  </rcc>
  <rcv guid="{FF124C4D-20DF-4C1B-B072-A9ABB2F1106A}" action="delete"/>
  <rcv guid="{FF124C4D-20DF-4C1B-B072-A9ABB2F1106A}" action="add"/>
</revisions>
</file>

<file path=xl/revisions/revisionLog2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546" sId="4">
    <nc r="CK128">
      <f>CJ128+CI128</f>
    </nc>
  </rcc>
  <rcc rId="547" sId="4" odxf="1">
    <nc r="CK129">
      <f>CJ129+CI129</f>
    </nc>
    <odxf/>
  </rcc>
  <rcc rId="548" sId="4" odxf="1">
    <nc r="CK130">
      <f>CJ130+CI130</f>
    </nc>
    <odxf/>
  </rcc>
  <rcc rId="549" sId="4" odxf="1">
    <nc r="CK131">
      <f>CJ131+CI131</f>
    </nc>
    <odxf/>
  </rcc>
  <rcc rId="550" sId="4">
    <nc r="CK132">
      <f>CJ132+CI132</f>
    </nc>
  </rcc>
  <rcc rId="551" sId="4" odxf="1">
    <nc r="CK133">
      <f>CJ133+CI133</f>
    </nc>
    <odxf/>
  </rcc>
  <rcc rId="552" sId="4" odxf="1" dxf="1">
    <nc r="CK134">
      <f>CJ134+CI134</f>
    </nc>
    <odxf/>
    <ndxf/>
  </rcc>
  <rcc rId="553" sId="4" odxf="1" dxf="1">
    <nc r="CK135">
      <f>CJ135+CI135</f>
    </nc>
    <odxf/>
    <ndxf/>
  </rcc>
  <rcc rId="554" sId="4" odxf="1" dxf="1">
    <nc r="CK136">
      <f>CJ136+CI136</f>
    </nc>
    <odxf/>
    <ndxf/>
  </rcc>
  <rcc rId="555" sId="4">
    <nc r="CK137">
      <f>CJ137+CI137</f>
    </nc>
  </rcc>
  <rcc rId="556" sId="4" odxf="1">
    <nc r="CK138">
      <f>CJ138+CI138</f>
    </nc>
    <odxf/>
  </rcc>
  <rcc rId="557" sId="4" odxf="1">
    <nc r="CK139">
      <f>CJ139+CI139</f>
    </nc>
    <odxf/>
  </rcc>
  <rcc rId="558" sId="4" odxf="1" dxf="1">
    <nc r="CK140">
      <f>CJ140+CI140</f>
    </nc>
    <odxf/>
    <ndxf/>
  </rcc>
  <rcc rId="559" sId="4" odxf="1" dxf="1">
    <nc r="CK141">
      <f>CJ141+CI141</f>
    </nc>
    <odxf/>
    <ndxf/>
  </rcc>
  <rcc rId="560" sId="4">
    <nc r="CK93">
      <f>CJ93+CI93</f>
    </nc>
  </rcc>
  <rcc rId="561" sId="4">
    <nc r="CK94">
      <f>CJ94+CI94</f>
    </nc>
  </rcc>
  <rcc rId="562" sId="4" odxf="1">
    <nc r="CK95">
      <f>CJ95+CI95</f>
    </nc>
    <odxf/>
  </rcc>
  <rcc rId="563" sId="4">
    <nc r="CK96">
      <f>CJ96+CI96</f>
    </nc>
  </rcc>
  <rcc rId="564" sId="4" odxf="1">
    <nc r="CK97">
      <f>CJ97+CI97</f>
    </nc>
    <odxf/>
  </rcc>
  <rcc rId="565" sId="4">
    <nc r="CK98">
      <f>CJ98+CI98</f>
    </nc>
  </rcc>
  <rcc rId="566" sId="4" odxf="1">
    <nc r="CK99">
      <f>CJ99+CI99</f>
    </nc>
    <odxf/>
  </rcc>
  <rcc rId="567" sId="4" odxf="1">
    <nc r="CK100">
      <f>CJ100+CI100</f>
    </nc>
    <odxf/>
  </rcc>
  <rcc rId="568" sId="4" odxf="1">
    <nc r="CK101">
      <f>CJ101+CI101</f>
    </nc>
    <odxf/>
  </rcc>
  <rcc rId="569" sId="4">
    <nc r="CK102">
      <f>CJ102+CI102</f>
    </nc>
  </rcc>
  <rcc rId="570" sId="4">
    <nc r="CK103">
      <f>CJ103+CI103</f>
    </nc>
  </rcc>
  <rcc rId="571" sId="4">
    <nc r="CK104">
      <f>CJ104+CI104</f>
    </nc>
  </rcc>
  <rcc rId="572" sId="4">
    <nc r="CK105">
      <f>CJ105+CI105</f>
    </nc>
  </rcc>
  <rcc rId="573" sId="4" odxf="1">
    <nc r="CK106">
      <f>CJ106+CI106</f>
    </nc>
    <odxf/>
  </rcc>
  <rcc rId="574" sId="4" odxf="1">
    <nc r="CK107">
      <f>CJ107+CI107</f>
    </nc>
    <odxf/>
  </rcc>
  <rcc rId="575" sId="4" odxf="1">
    <nc r="CK108">
      <f>CJ108+CI108</f>
    </nc>
    <odxf/>
  </rcc>
  <rcc rId="576" sId="4" odxf="1">
    <nc r="CK109">
      <f>CJ109+CI109</f>
    </nc>
    <odxf/>
  </rcc>
  <rcc rId="577" sId="4" odxf="1">
    <nc r="CK110">
      <f>CJ110+CI110</f>
    </nc>
    <odxf/>
  </rcc>
  <rcc rId="578" sId="4" odxf="1">
    <nc r="CK111">
      <f>CJ111+CI111</f>
    </nc>
    <odxf/>
  </rcc>
  <rcc rId="579" sId="4" odxf="1" dxf="1">
    <nc r="CK112">
      <f>CJ112+CI112</f>
    </nc>
    <odxf/>
    <ndxf/>
  </rcc>
  <rcc rId="580" sId="4" odxf="1">
    <nc r="CK113">
      <f>CJ113+CI113</f>
    </nc>
    <odxf/>
  </rcc>
  <rcc rId="581" sId="4" odxf="1">
    <nc r="CK114">
      <f>CJ114+CI114</f>
    </nc>
    <odxf/>
  </rcc>
  <rcc rId="582" sId="4" odxf="1">
    <nc r="CK115">
      <f>CJ115+CI115</f>
    </nc>
    <odxf/>
  </rcc>
  <rcc rId="583" sId="4" odxf="1" dxf="1">
    <nc r="CK116">
      <f>CJ116+CI116</f>
    </nc>
    <odxf/>
    <ndxf/>
  </rcc>
</revisions>
</file>

<file path=xl/revisions/revisionLog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 sId="6" odxf="1" dxf="1">
    <nc r="I6" t="inlineStr">
      <is>
        <t>lakjsdlfkjasldkfjlaskdjfls</t>
      </is>
    </nc>
    <odxf>
      <font>
        <sz val="10"/>
        <color auto="1"/>
        <name val="Arial"/>
        <scheme val="none"/>
      </font>
    </odxf>
    <ndxf>
      <font>
        <sz val="10"/>
        <color auto="1"/>
        <name val="Arial"/>
        <scheme val="none"/>
      </font>
    </ndxf>
  </rcc>
  <rcv guid="{5102CD51-6323-4C0C-991F-AF8276ECBB13}" action="delete"/>
  <rdn rId="0" localSheetId="4" customView="1" name="Z_5102CD51_6323_4C0C_991F_AF8276ECBB13_.wvu.Rows" hidden="1" oldHidden="1">
    <formula>'FY 2016 by Agency'!$237:$251</formula>
    <oldFormula>'FY 2016 by Agency'!$237:$251</oldFormula>
  </rdn>
  <rdn rId="0" localSheetId="4" customView="1" name="Z_5102CD51_6323_4C0C_991F_AF8276ECBB13_.wvu.Cols" hidden="1" oldHidden="1">
    <formula>'FY 2016 by Agency'!$D:$E,'FY 2016 by Agency'!$G:$H,'FY 2016 by Agency'!$J:$K,'FY 2016 by Agency'!$M:$N,'FY 2016 by Agency'!$P:$Q,'FY 2016 by Agency'!$S:$T,'FY 2016 by Agency'!$V:$W,'FY 2016 by Agency'!$Y:$Z,'FY 2016 by Agency'!$AB:$AE,'FY 2016 by Agency'!$AG:$BA,'FY 2016 by Agency'!$BC:$BD,'FY 2016 by Agency'!$BF:$BW,'FY 2016 by Agency'!$CC:$CC</formula>
    <oldFormula>'FY 2016 by Agency'!$D:$E,'FY 2016 by Agency'!$G:$H,'FY 2016 by Agency'!$J:$K,'FY 2016 by Agency'!$M:$N,'FY 2016 by Agency'!$P:$Q,'FY 2016 by Agency'!$S:$T,'FY 2016 by Agency'!$V:$W,'FY 2016 by Agency'!$Y:$Z,'FY 2016 by Agency'!$AB:$AE,'FY 2016 by Agency'!$AG:$BA,'FY 2016 by Agency'!$BC:$BD,'FY 2016 by Agency'!$BF:$BW,'FY 2016 by Agency'!$CC:$CC</oldFormula>
  </rdn>
  <rdn rId="0" localSheetId="5" customView="1" name="Z_5102CD51_6323_4C0C_991F_AF8276ECBB13_.wvu.Rows" hidden="1" oldHidden="1">
    <formula>'FY 2016 by Agency-Adj'!$232:$247</formula>
    <oldFormula>'FY 2016 by Agency-Adj'!$232:$247</oldFormula>
  </rdn>
  <rdn rId="0" localSheetId="5" customView="1" name="Z_5102CD51_6323_4C0C_991F_AF8276ECBB13_.wvu.Cols" hidden="1" oldHidden="1">
    <formula>'FY 2016 by Agency-Adj'!$AD:$AE,'FY 2016 by Agency-Adj'!$AI:$BK,'FY 2016 by Agency-Adj'!$BO:$BQ,'FY 2016 by Agency-Adj'!$BU:$BX</formula>
    <oldFormula>'FY 2016 by Agency-Adj'!$AD:$AE,'FY 2016 by Agency-Adj'!$AI:$BK,'FY 2016 by Agency-Adj'!$BO:$BQ,'FY 2016 by Agency-Adj'!$BU:$BX</oldFormula>
  </rdn>
  <rcv guid="{5102CD51-6323-4C0C-991F-AF8276ECBB13}" action="add"/>
</revisions>
</file>

<file path=xl/revisions/revisionLog3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4" sqref="CO81:CP81" start="0" length="0">
    <dxf>
      <border>
        <bottom style="thin">
          <color auto="1"/>
        </bottom>
      </border>
    </dxf>
  </rfmt>
</revisions>
</file>

<file path=xl/revisions/revisionLog3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584" sId="4">
    <nc r="CM33">
      <f>CL33/CF33</f>
    </nc>
  </rcc>
  <rcc rId="585" sId="4">
    <oc r="CF25">
      <v>252948</v>
    </oc>
    <nc r="CF25">
      <f>252948-45189-10887</f>
    </nc>
  </rcc>
  <rcc rId="586" sId="4">
    <oc r="CN25">
      <v>334003</v>
    </oc>
    <nc r="CN25">
      <f>334003-31616-17599</f>
    </nc>
  </rcc>
  <rcc rId="587" sId="4">
    <oc r="CK7">
      <f>CI7</f>
    </oc>
    <nc r="CK7">
      <f>CI7+CJ7</f>
    </nc>
  </rcc>
  <rcc rId="588" sId="4" numFmtId="11">
    <oc r="CK8">
      <v>4241</v>
    </oc>
    <nc r="CK8">
      <f>CI8+CJ8</f>
    </nc>
  </rcc>
  <rcc rId="589" sId="4" numFmtId="11">
    <oc r="CK9">
      <v>924</v>
    </oc>
    <nc r="CK9">
      <f>CI9+CJ9</f>
    </nc>
  </rcc>
  <rcc rId="590" sId="4" odxf="1">
    <oc r="CK10">
      <f>(9322)</f>
    </oc>
    <nc r="CK10">
      <f>CI10+CJ10</f>
    </nc>
    <odxf/>
  </rcc>
  <rcc rId="591" sId="4" odxf="1" numFmtId="11">
    <oc r="CK11">
      <v>0</v>
    </oc>
    <nc r="CK11">
      <f>CI11+CJ11</f>
    </nc>
    <odxf/>
  </rcc>
  <rcc rId="592" sId="4" odxf="1" numFmtId="11">
    <oc r="CK12">
      <v>0</v>
    </oc>
    <nc r="CK12">
      <f>CI12+CJ12</f>
    </nc>
    <odxf/>
  </rcc>
  <rcc rId="593" sId="4">
    <oc r="CK13">
      <f>3915</f>
    </oc>
    <nc r="CK13">
      <f>CI13+CJ13</f>
    </nc>
  </rcc>
  <rcc rId="594" sId="4" numFmtId="11">
    <oc r="CK14">
      <v>0</v>
    </oc>
    <nc r="CK14">
      <f>CI14+CJ14</f>
    </nc>
  </rcc>
  <rcc rId="595" sId="4" numFmtId="11">
    <oc r="CK15">
      <v>3714</v>
    </oc>
    <nc r="CK15">
      <f>CI15+CJ15</f>
    </nc>
  </rcc>
  <rcc rId="596" sId="4" numFmtId="11">
    <oc r="CK16">
      <v>3124</v>
    </oc>
    <nc r="CK16">
      <f>CI16+CJ16</f>
    </nc>
  </rcc>
  <rcc rId="597" sId="4" numFmtId="11">
    <oc r="CK17">
      <v>0</v>
    </oc>
    <nc r="CK17">
      <f>CI17+CJ17</f>
    </nc>
  </rcc>
  <rcc rId="598" sId="4" numFmtId="11">
    <oc r="CK18">
      <v>8677</v>
    </oc>
    <nc r="CK18">
      <f>CI18+CJ18</f>
    </nc>
  </rcc>
  <rcc rId="599" sId="4" numFmtId="11">
    <oc r="CK19">
      <v>0</v>
    </oc>
    <nc r="CK19">
      <f>CI19+CJ19</f>
    </nc>
  </rcc>
  <rcc rId="600" sId="4" numFmtId="11">
    <oc r="CK20">
      <v>1043</v>
    </oc>
    <nc r="CK20">
      <f>CI20+CJ20</f>
    </nc>
  </rcc>
  <rcc rId="601" sId="4" numFmtId="11">
    <oc r="CK21">
      <v>21709</v>
    </oc>
    <nc r="CK21">
      <f>CI21+CJ21</f>
    </nc>
  </rcc>
  <rcc rId="602" sId="4" numFmtId="11">
    <oc r="CK22">
      <v>0</v>
    </oc>
    <nc r="CK22">
      <f>CI22+CJ22</f>
    </nc>
  </rcc>
  <rcc rId="603" sId="4" numFmtId="11">
    <oc r="CK23">
      <v>17645</v>
    </oc>
    <nc r="CK23">
      <f>CI23+CJ23</f>
    </nc>
  </rcc>
  <rcc rId="604" sId="4" numFmtId="11">
    <oc r="CK24">
      <v>70116</v>
    </oc>
    <nc r="CK24">
      <f>CI24+CJ24</f>
    </nc>
  </rcc>
  <rcc rId="605" sId="4" odxf="1">
    <oc r="CK25">
      <v>307184</v>
    </oc>
    <nc r="CK25">
      <f>CI25+CJ25</f>
    </nc>
  </rcc>
  <rcc rId="606" sId="4" numFmtId="11">
    <oc r="CK26">
      <v>1426</v>
    </oc>
    <nc r="CK26">
      <f>CI26+CJ26</f>
    </nc>
  </rcc>
  <rcc rId="607" sId="4" numFmtId="11">
    <oc r="CK27">
      <v>7240</v>
    </oc>
    <nc r="CK27">
      <f>CI27+CJ27</f>
    </nc>
  </rcc>
  <rcc rId="608" sId="4" numFmtId="11">
    <oc r="CK28">
      <v>2798</v>
    </oc>
    <nc r="CK28">
      <f>CI28+CJ28</f>
    </nc>
  </rcc>
  <rcc rId="609" sId="4" numFmtId="11">
    <oc r="CK29">
      <v>1253</v>
    </oc>
    <nc r="CK29">
      <f>CI29+CJ29</f>
    </nc>
  </rcc>
  <rcc rId="610" sId="4" numFmtId="11">
    <oc r="CK30">
      <v>1570</v>
    </oc>
    <nc r="CK30">
      <f>CI30+CJ30</f>
    </nc>
  </rcc>
  <rcc rId="611" sId="4" numFmtId="11">
    <oc r="CK31">
      <v>450</v>
    </oc>
    <nc r="CK31">
      <f>CI31+CJ31</f>
    </nc>
  </rcc>
  <rcc rId="612" sId="4" numFmtId="11">
    <oc r="CK32">
      <v>67831</v>
    </oc>
    <nc r="CK32">
      <f>CI32+CJ32</f>
    </nc>
  </rcc>
  <rcc rId="613" sId="4" numFmtId="11">
    <oc r="CK33">
      <v>226</v>
    </oc>
    <nc r="CK33">
      <f>CI33+CJ33</f>
    </nc>
  </rcc>
  <rcc rId="614" sId="4" numFmtId="11">
    <oc r="CK34">
      <v>14348</v>
    </oc>
    <nc r="CK34">
      <f>CI34+CJ34</f>
    </nc>
  </rcc>
  <rcc rId="615" sId="4">
    <nc r="CK35">
      <f>CI35+CJ35</f>
    </nc>
  </rcc>
  <rcc rId="616" sId="4" numFmtId="11">
    <oc r="CK36">
      <v>1600</v>
    </oc>
    <nc r="CK36">
      <f>CI36+CJ36</f>
    </nc>
  </rcc>
  <rcc rId="617" sId="4" odxf="1" dxf="1" numFmtId="11">
    <oc r="CK37">
      <v>0</v>
    </oc>
    <nc r="CK37">
      <f>CI37+CJ37</f>
    </nc>
    <odxf/>
    <ndxf/>
  </rcc>
  <rcc rId="618" sId="4" odxf="1" dxf="1" numFmtId="11">
    <oc r="CK38">
      <v>0</v>
    </oc>
    <nc r="CK38">
      <f>CI38+CJ38</f>
    </nc>
    <odxf/>
    <ndxf/>
  </rcc>
  <rcc rId="619" sId="4" odxf="1" dxf="1" numFmtId="11">
    <oc r="CK39">
      <v>0</v>
    </oc>
    <nc r="CK39">
      <f>CI39+CJ39</f>
    </nc>
    <odxf>
      <font>
        <i/>
        <sz val="11"/>
        <name val="Calibri"/>
        <scheme val="minor"/>
      </font>
    </odxf>
    <ndxf>
      <font>
        <i val="0"/>
        <sz val="11"/>
        <name val="Calibri"/>
        <scheme val="minor"/>
      </font>
    </ndxf>
  </rcc>
  <rcc rId="620" sId="4" odxf="1" dxf="1" numFmtId="11">
    <oc r="CK40">
      <v>0</v>
    </oc>
    <nc r="CK40">
      <f>CI40+CJ40</f>
    </nc>
    <odxf>
      <font>
        <i/>
        <sz val="11"/>
        <name val="Calibri"/>
        <scheme val="minor"/>
      </font>
    </odxf>
    <ndxf>
      <font>
        <i val="0"/>
        <sz val="11"/>
        <name val="Calibri"/>
        <scheme val="minor"/>
      </font>
    </ndxf>
  </rcc>
  <rcc rId="621" sId="4">
    <nc r="CK41">
      <f>CI41+CJ41</f>
    </nc>
  </rcc>
  <rcc rId="622" sId="4" odxf="1" dxf="1">
    <nc r="CK42">
      <f>CI42+CJ42</f>
    </nc>
    <odxf/>
    <ndxf/>
  </rcc>
  <rcc rId="623" sId="4" odxf="1" dxf="1" numFmtId="11">
    <oc r="CK43">
      <v>50</v>
    </oc>
    <nc r="CK43">
      <f>CI43+CJ43</f>
    </nc>
    <odxf/>
    <ndxf/>
  </rcc>
  <rcc rId="624" sId="4" odxf="1" dxf="1">
    <nc r="CK44">
      <f>CI44+CJ44</f>
    </nc>
    <odxf/>
    <ndxf/>
  </rcc>
  <rcc rId="625" sId="4" odxf="1" dxf="1" numFmtId="11">
    <oc r="CK45">
      <v>0</v>
    </oc>
    <nc r="CK45">
      <f>CI45+CJ45</f>
    </nc>
    <odxf/>
    <ndxf/>
  </rcc>
  <rcc rId="626" sId="4" odxf="1" dxf="1" numFmtId="11">
    <oc r="CK46">
      <v>0</v>
    </oc>
    <nc r="CK46">
      <f>CI46+CJ46</f>
    </nc>
    <odxf/>
    <ndxf/>
  </rcc>
  <rcc rId="627" sId="4" odxf="1" dxf="1" numFmtId="11">
    <oc r="CK47">
      <v>0</v>
    </oc>
    <nc r="CK47">
      <f>CI47+CJ47</f>
    </nc>
    <odxf/>
    <ndxf/>
  </rcc>
  <rcc rId="628" sId="4">
    <nc r="CK48">
      <f>SUM(CK7:CK46)</f>
    </nc>
  </rcc>
  <rcc rId="629" sId="4" odxf="1" dxf="1">
    <nc r="CN48">
      <f>SUM(CN7:CN46)</f>
    </nc>
    <odxf>
      <numFmt numFmtId="0" formatCode="General"/>
    </odxf>
    <ndxf>
      <numFmt numFmtId="165" formatCode="&quot;$&quot;#,##0"/>
    </ndxf>
  </rcc>
  <rcc rId="630" sId="4" xfDxf="1" dxf="1" numFmtId="11">
    <oc r="CF35">
      <f>CD35+CE35</f>
    </oc>
    <nc r="CF35">
      <v>121738</v>
    </nc>
    <ndxf>
      <font>
        <sz val="11"/>
        <name val="Calibri"/>
        <scheme val="minor"/>
      </font>
      <numFmt numFmtId="165" formatCode="&quot;$&quot;#,##0"/>
    </ndxf>
  </rcc>
  <rfmt sheetId="4" sqref="CN35" start="0" length="0">
    <dxf>
      <numFmt numFmtId="3" formatCode="#,##0"/>
    </dxf>
  </rfmt>
  <rfmt sheetId="4" xfDxf="1" sqref="CN35" start="0" length="0">
    <dxf>
      <font>
        <sz val="11"/>
        <name val="Calibri"/>
        <scheme val="minor"/>
      </font>
      <numFmt numFmtId="3" formatCode="#,##0"/>
    </dxf>
  </rfmt>
  <rcc rId="631" sId="4" xfDxf="1" dxf="1" numFmtId="4">
    <nc r="CN35">
      <v>162340</v>
    </nc>
    <ndxf>
      <font>
        <sz val="11"/>
        <name val="Calibri"/>
        <scheme val="minor"/>
      </font>
      <numFmt numFmtId="3" formatCode="#,##0"/>
    </ndxf>
  </rcc>
  <rcc rId="632" sId="4" xfDxf="1" dxf="1" numFmtId="11">
    <oc r="CF44">
      <f>CD44+CE44</f>
    </oc>
    <nc r="CF44">
      <v>1377</v>
    </nc>
    <ndxf>
      <font>
        <sz val="11"/>
        <name val="Calibri"/>
        <scheme val="minor"/>
      </font>
      <numFmt numFmtId="165" formatCode="&quot;$&quot;#,##0"/>
    </ndxf>
  </rcc>
  <rfmt sheetId="4" sqref="CN44" start="0" length="0">
    <dxf>
      <numFmt numFmtId="3" formatCode="#,##0"/>
    </dxf>
  </rfmt>
  <rcc rId="633" sId="4" xfDxf="1" dxf="1" numFmtId="4">
    <nc r="CN44">
      <v>1564</v>
    </nc>
    <ndxf>
      <font>
        <sz val="11"/>
        <name val="Calibri"/>
        <scheme val="minor"/>
      </font>
      <numFmt numFmtId="3" formatCode="#,##0"/>
    </ndxf>
  </rcc>
  <rcc rId="634" sId="4">
    <nc r="CN42">
      <v>0</v>
    </nc>
  </rcc>
  <rcc rId="635" sId="4">
    <nc r="CN41">
      <v>0</v>
    </nc>
  </rcc>
  <rcc rId="636" sId="4" numFmtId="11">
    <nc r="CI41">
      <v>0</v>
    </nc>
  </rcc>
  <rcmt sheetId="4" cell="CN25" guid="{290A4408-232D-4EE5-BF8D-583D68172AD6}" author="Wes Rivers" newLength="94"/>
</revisions>
</file>

<file path=xl/revisions/revisionLog3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637" sId="5">
    <oc r="CH92">
      <f>'FY 2016 by Agency'!CN91*Inflator!$E$18</f>
    </oc>
    <nc r="CH92">
      <f>'FY 2016 by Agency'!CN93*Inflator!$E$18</f>
    </nc>
  </rcc>
  <rcc rId="638" sId="5">
    <oc r="CH93">
      <f>'FY 2016 by Agency'!CN92*Inflator!$E$18</f>
    </oc>
    <nc r="CH93">
      <f>'FY 2016 by Agency'!CN94*Inflator!$E$18</f>
    </nc>
  </rcc>
  <rcc rId="639" sId="5">
    <oc r="CH94">
      <f>'FY 2016 by Agency'!CN93*Inflator!$E$18</f>
    </oc>
    <nc r="CH94">
      <f>'FY 2016 by Agency'!CN95*Inflator!$E$18</f>
    </nc>
  </rcc>
  <rcc rId="640" sId="5">
    <oc r="CH95">
      <f>'FY 2016 by Agency'!CN94*Inflator!$E$18</f>
    </oc>
    <nc r="CH95">
      <f>'FY 2016 by Agency'!CN96*Inflator!$E$18</f>
    </nc>
  </rcc>
  <rcc rId="641" sId="5">
    <oc r="CH96">
      <f>'FY 2016 by Agency'!CN95*Inflator!$E$18</f>
    </oc>
    <nc r="CH96">
      <f>'FY 2016 by Agency'!CN97*Inflator!$E$18</f>
    </nc>
  </rcc>
  <rcc rId="642" sId="5">
    <oc r="CH97">
      <f>'FY 2016 by Agency'!CN96*Inflator!$E$18</f>
    </oc>
    <nc r="CH97">
      <f>'FY 2016 by Agency'!CN98*Inflator!$E$18</f>
    </nc>
  </rcc>
  <rcc rId="643" sId="5">
    <oc r="CH98">
      <f>'FY 2016 by Agency'!CN97*Inflator!$E$18</f>
    </oc>
    <nc r="CH98">
      <f>'FY 2016 by Agency'!CN99*Inflator!$E$18</f>
    </nc>
  </rcc>
  <rcc rId="644" sId="5">
    <oc r="CH99">
      <f>'FY 2016 by Agency'!CN98*Inflator!$E$18</f>
    </oc>
    <nc r="CH99">
      <f>'FY 2016 by Agency'!CN100*Inflator!$E$18</f>
    </nc>
  </rcc>
  <rcc rId="645" sId="5">
    <oc r="CH100">
      <f>'FY 2016 by Agency'!CN99*Inflator!$E$18</f>
    </oc>
    <nc r="CH100">
      <f>'FY 2016 by Agency'!CN101*Inflator!$E$18</f>
    </nc>
  </rcc>
  <rcc rId="646" sId="5">
    <oc r="CH101">
      <f>'FY 2016 by Agency'!CN100*Inflator!$E$18</f>
    </oc>
    <nc r="CH101">
      <f>'FY 2016 by Agency'!CN102*Inflator!$E$18</f>
    </nc>
  </rcc>
  <rcc rId="647" sId="5">
    <oc r="CH102">
      <f>'FY 2016 by Agency'!CN101*Inflator!$E$18</f>
    </oc>
    <nc r="CH102">
      <f>'FY 2016 by Agency'!CN103*Inflator!$E$18</f>
    </nc>
  </rcc>
  <rcc rId="648" sId="5">
    <oc r="CH103">
      <f>'FY 2016 by Agency'!CN102*Inflator!$E$18</f>
    </oc>
    <nc r="CH103">
      <f>'FY 2016 by Agency'!CN104*Inflator!$E$18</f>
    </nc>
  </rcc>
  <rcc rId="649" sId="5">
    <oc r="CH104">
      <f>'FY 2016 by Agency'!CN103*Inflator!$E$18</f>
    </oc>
    <nc r="CH104">
      <f>'FY 2016 by Agency'!CN105*Inflator!$E$18</f>
    </nc>
  </rcc>
  <rcc rId="650" sId="5">
    <oc r="CH105">
      <f>'FY 2016 by Agency'!CN104*Inflator!$E$18</f>
    </oc>
    <nc r="CH105">
      <f>'FY 2016 by Agency'!CN106*Inflator!$E$18</f>
    </nc>
  </rcc>
  <rcc rId="651" sId="5">
    <oc r="CH115">
      <f>'FY 2016 by Agency'!CN114*Inflator!$E$18</f>
    </oc>
    <nc r="CH115">
      <f>'FY 2016 by Agency'!CN116*Inflator!$E$18</f>
    </nc>
  </rcc>
  <rcc rId="652" sId="5">
    <oc r="CH114">
      <f>'FY 2016 by Agency'!CN113*Inflator!$E$18</f>
    </oc>
    <nc r="CH114">
      <f>'FY 2016 by Agency'!CN115*Inflator!$E$18</f>
    </nc>
  </rcc>
  <rcc rId="653" sId="5">
    <oc r="CH113">
      <f>'FY 2016 by Agency'!CN112*Inflator!$E$18</f>
    </oc>
    <nc r="CH113">
      <f>'FY 2016 by Agency'!CN114*Inflator!$E$18</f>
    </nc>
  </rcc>
  <rcc rId="654" sId="5">
    <oc r="CH112">
      <f>'FY 2016 by Agency'!CN111*Inflator!$E$18</f>
    </oc>
    <nc r="CH112">
      <f>'FY 2016 by Agency'!CN113*Inflator!$E$18</f>
    </nc>
  </rcc>
  <rcc rId="655" sId="5">
    <oc r="CH111">
      <f>'FY 2016 by Agency'!CN110*Inflator!$E$18</f>
    </oc>
    <nc r="CH111">
      <f>'FY 2016 by Agency'!CN112*Inflator!$E$18</f>
    </nc>
  </rcc>
  <rcc rId="656" sId="5">
    <oc r="CH110">
      <f>'FY 2016 by Agency'!CN109*Inflator!$E$18</f>
    </oc>
    <nc r="CH110">
      <f>'FY 2016 by Agency'!CN111*Inflator!$E$18</f>
    </nc>
  </rcc>
  <rcc rId="657" sId="5">
    <oc r="CH109">
      <f>'FY 2016 by Agency'!CN108*Inflator!$E$18</f>
    </oc>
    <nc r="CH109">
      <f>'FY 2016 by Agency'!CN110*Inflator!$E$18</f>
    </nc>
  </rcc>
  <rcc rId="658" sId="5">
    <oc r="CH108">
      <f>'FY 2016 by Agency'!CN107*Inflator!$E$18</f>
    </oc>
    <nc r="CH108">
      <f>'FY 2016 by Agency'!CN109*Inflator!$E$18</f>
    </nc>
  </rcc>
  <rcc rId="659" sId="5">
    <oc r="CH107">
      <f>'FY 2016 by Agency'!CN106*Inflator!$E$18</f>
    </oc>
    <nc r="CH107">
      <f>'FY 2016 by Agency'!CN108*Inflator!$E$18</f>
    </nc>
  </rcc>
  <rcc rId="660" sId="5">
    <oc r="CH106">
      <f>'FY 2016 by Agency'!CN105*Inflator!$E$18</f>
    </oc>
    <nc r="CH106">
      <f>'FY 2016 by Agency'!CN107*Inflator!$E$18</f>
    </nc>
  </rcc>
  <rcc rId="661" sId="5">
    <oc r="CH116">
      <f>'FY 2016 by Agency'!CN115*Inflator!$E$18</f>
    </oc>
    <nc r="CH116">
      <f>'FY 2016 by Agency'!CN117*Inflator!$E$18</f>
    </nc>
  </rcc>
</revisions>
</file>

<file path=xl/revisions/revisionLog3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662" sId="5">
    <oc r="CH127">
      <f>'FY 2016 by Agency'!CN126*Inflator!$E$18</f>
    </oc>
    <nc r="CH127">
      <f>'FY 2016 by Agency'!CN128*Inflator!$E$18</f>
    </nc>
  </rcc>
  <rcc rId="663" sId="5">
    <oc r="CH128">
      <f>'FY 2016 by Agency'!CN127*Inflator!$E$18</f>
    </oc>
    <nc r="CH128">
      <f>'FY 2016 by Agency'!CN129*Inflator!$E$18</f>
    </nc>
  </rcc>
  <rcc rId="664" sId="5">
    <oc r="CH129">
      <f>'FY 2016 by Agency'!CN128*Inflator!$E$18</f>
    </oc>
    <nc r="CH129">
      <f>'FY 2016 by Agency'!CN130*Inflator!$E$18</f>
    </nc>
  </rcc>
  <rcc rId="665" sId="5">
    <oc r="CH130">
      <f>'FY 2016 by Agency'!CN129*Inflator!$E$18</f>
    </oc>
    <nc r="CH130">
      <f>'FY 2016 by Agency'!CN131*Inflator!$E$18</f>
    </nc>
  </rcc>
  <rcc rId="666" sId="5">
    <oc r="CH131">
      <f>'FY 2016 by Agency'!CN130*Inflator!$E$18</f>
    </oc>
    <nc r="CH131">
      <f>'FY 2016 by Agency'!CN132*Inflator!$E$18</f>
    </nc>
  </rcc>
  <rcc rId="667" sId="5">
    <oc r="CH132">
      <f>'FY 2016 by Agency'!CN131*Inflator!$E$18</f>
    </oc>
    <nc r="CH132">
      <f>'FY 2016 by Agency'!CN133*Inflator!$E$18</f>
    </nc>
  </rcc>
  <rcc rId="668" sId="5">
    <oc r="CH134">
      <f>'FY 2016 by Agency'!CN133*Inflator!$E$18</f>
    </oc>
    <nc r="CH134">
      <f>'FY 2016 by Agency'!CN135*Inflator!$E$18</f>
    </nc>
  </rcc>
  <rcc rId="669" sId="5">
    <oc r="CH133">
      <f>'FY 2016 by Agency'!CN132*Inflator!$E$18</f>
    </oc>
    <nc r="CH133">
      <f>'FY 2016 by Agency'!CN134*Inflator!$E$18</f>
    </nc>
  </rcc>
  <rcc rId="670" sId="5">
    <oc r="CH135">
      <f>'FY 2016 by Agency'!CN134*Inflator!$E$18</f>
    </oc>
    <nc r="CH135">
      <f>'FY 2016 by Agency'!CN136*Inflator!$E$18</f>
    </nc>
  </rcc>
  <rcc rId="671" sId="5">
    <oc r="CH136">
      <f>'FY 2016 by Agency'!CN135*Inflator!$E$18</f>
    </oc>
    <nc r="CH136">
      <f>'FY 2016 by Agency'!CN137*Inflator!$E$18</f>
    </nc>
  </rcc>
  <rcc rId="672" sId="5">
    <oc r="CH137">
      <f>'FY 2016 by Agency'!CN136*Inflator!$E$18</f>
    </oc>
    <nc r="CH137">
      <f>'FY 2016 by Agency'!CN138*Inflator!$E$18</f>
    </nc>
  </rcc>
  <rcc rId="673" sId="5">
    <oc r="CH138">
      <f>'FY 2016 by Agency'!CN137*Inflator!$E$18</f>
    </oc>
    <nc r="CH138">
      <f>'FY 2016 by Agency'!CN139*Inflator!$E$18</f>
    </nc>
  </rcc>
  <rcc rId="674" sId="5">
    <oc r="CH139">
      <f>'FY 2016 by Agency'!CN138*Inflator!$E$18</f>
    </oc>
    <nc r="CH139">
      <f>'FY 2016 by Agency'!CN140*Inflator!$E$18</f>
    </nc>
  </rcc>
  <rcc rId="675" sId="5">
    <oc r="CH140">
      <f>'FY 2016 by Agency'!CN139*Inflator!$E$18</f>
    </oc>
    <nc r="CH140">
      <f>'FY 2016 by Agency'!CN141*Inflator!$E$18</f>
    </nc>
  </rcc>
  <rcc rId="676" sId="5">
    <oc r="CH141">
      <f>'FY 2016 by Agency'!CN140*Inflator!$E$18</f>
    </oc>
    <nc r="CH141">
      <f>'FY 2016 by Agency'!CN142*Inflator!$E$18</f>
    </nc>
  </rcc>
</revisions>
</file>

<file path=xl/revisions/revisionLog3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677" sId="5">
    <oc r="CG141">
      <f>CF141/CB141</f>
    </oc>
    <nc r="CG141">
      <f>CF141/CB141</f>
    </nc>
  </rcc>
  <rcc rId="678" sId="5">
    <oc r="CG140">
      <f>CF140/CB140</f>
    </oc>
    <nc r="CG140">
      <f>CF140/CB140</f>
    </nc>
  </rcc>
  <rcc rId="679" sId="5">
    <oc r="CG116">
      <f>CF116/CB116</f>
    </oc>
    <nc r="CG116">
      <f>CF116/CB116</f>
    </nc>
  </rcc>
  <rfmt sheetId="5" sqref="CJ127:CJ141">
    <dxf>
      <numFmt numFmtId="13" formatCode="0%"/>
    </dxf>
  </rfmt>
  <rfmt sheetId="5" sqref="CJ127:CJ141">
    <dxf>
      <numFmt numFmtId="164" formatCode="0.0%"/>
    </dxf>
  </rfmt>
  <rfmt sheetId="5" sqref="CJ92:CJ116">
    <dxf>
      <numFmt numFmtId="13" formatCode="0%"/>
    </dxf>
  </rfmt>
  <rfmt sheetId="5" sqref="CJ92:CJ116">
    <dxf>
      <numFmt numFmtId="164" formatCode="0.0%"/>
    </dxf>
  </rfmt>
</revisions>
</file>

<file path=xl/revisions/revisionLog3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680" sId="4" xfDxf="1" dxf="1" numFmtId="11">
    <oc r="CF159">
      <f>CD159+CE159</f>
    </oc>
    <nc r="CF159">
      <v>78413</v>
    </nc>
    <ndxf>
      <font>
        <sz val="11"/>
        <name val="Calibri"/>
        <scheme val="minor"/>
      </font>
      <numFmt numFmtId="165" formatCode="&quot;$&quot;#,##0"/>
    </ndxf>
  </rcc>
  <rcc rId="681" sId="4">
    <nc r="CK159">
      <f>CI159+CJ159</f>
    </nc>
  </rcc>
  <rfmt sheetId="4" sqref="CN159" start="0" length="0">
    <dxf>
      <numFmt numFmtId="3" formatCode="#,##0"/>
    </dxf>
  </rfmt>
  <rfmt sheetId="4" xfDxf="1" sqref="CN159" start="0" length="0">
    <dxf>
      <font>
        <sz val="11"/>
        <name val="Calibri"/>
        <scheme val="minor"/>
      </font>
      <numFmt numFmtId="3" formatCode="#,##0"/>
    </dxf>
  </rfmt>
  <rcc rId="682" sId="4" xfDxf="1" dxf="1" numFmtId="4">
    <nc r="CN159">
      <v>88477</v>
    </nc>
    <ndxf>
      <font>
        <sz val="11"/>
        <name val="Calibri"/>
        <scheme val="minor"/>
      </font>
      <numFmt numFmtId="3" formatCode="#,##0"/>
    </ndxf>
  </rcc>
  <rcc rId="683" sId="4" xfDxf="1" dxf="1" numFmtId="11">
    <oc r="CF157">
      <f>CD157+CE157</f>
    </oc>
    <nc r="CF157">
      <v>208847</v>
    </nc>
    <ndxf>
      <font>
        <sz val="11"/>
        <name val="Calibri"/>
        <scheme val="minor"/>
      </font>
      <numFmt numFmtId="165" formatCode="&quot;$&quot;#,##0"/>
    </ndxf>
  </rcc>
  <rcc rId="684" sId="4">
    <nc r="CK157">
      <f>CI157+CJ157</f>
    </nc>
  </rcc>
  <rfmt sheetId="4" sqref="CN157" start="0" length="0">
    <dxf>
      <numFmt numFmtId="3" formatCode="#,##0"/>
    </dxf>
  </rfmt>
  <rcc rId="685" sId="4" xfDxf="1" dxf="1" numFmtId="4">
    <nc r="CN157">
      <v>231106</v>
    </nc>
    <ndxf>
      <font>
        <sz val="11"/>
        <name val="Calibri"/>
        <scheme val="minor"/>
      </font>
      <numFmt numFmtId="3" formatCode="#,##0"/>
    </ndxf>
  </rcc>
  <rcc rId="686" sId="5">
    <oc r="CE48">
      <f>'FY 2016 by Agency'!CK44*Inflator!$E$17</f>
    </oc>
    <nc r="CE48">
      <f>'FY 2016 by Agency'!CK48*Inflator!$E$17</f>
    </nc>
  </rcc>
  <rcc rId="687" sId="5">
    <oc r="CH48">
      <f>'FY 2016 by Agency'!CN44*Inflator!$E$18</f>
    </oc>
    <nc r="CH48">
      <f>'FY 2016 by Agency'!CN48*Inflator!$E$18</f>
    </nc>
  </rcc>
  <rcc rId="688" sId="5">
    <oc r="CH156">
      <f>'FY 2016 by Agency'!CN155*Inflator!$E$18</f>
    </oc>
    <nc r="CH156">
      <f>'FY 2016 by Agency'!CN157*Inflator!$E$18</f>
    </nc>
  </rcc>
  <rcc rId="689" sId="5">
    <oc r="CH154">
      <f>'FY 2016 by Agency'!CN153*Inflator!$E$18</f>
    </oc>
    <nc r="CH154">
      <f>'FY 2016 by Agency'!CN155*Inflator!$E$18</f>
    </nc>
  </rcc>
  <rcc rId="690" sId="5">
    <oc r="CH155">
      <f>'FY 2016 by Agency'!CN154*Inflator!$E$18</f>
    </oc>
    <nc r="CH155">
      <f>'FY 2016 by Agency'!CN156*Inflator!$E$18</f>
    </nc>
  </rcc>
  <rcc rId="691" sId="5">
    <oc r="CH157">
      <f>'FY 2016 by Agency'!CN156*Inflator!$E$18</f>
    </oc>
    <nc r="CH157">
      <f>'FY 2016 by Agency'!CN158*Inflator!$E$18</f>
    </nc>
  </rcc>
  <rcc rId="692" sId="5">
    <oc r="CH158">
      <f>'FY 2016 by Agency'!CN157*Inflator!$E$18</f>
    </oc>
    <nc r="CH158">
      <f>'FY 2016 by Agency'!CN159*Inflator!$E$18</f>
    </nc>
  </rcc>
  <rcc rId="693" sId="5">
    <oc r="CH159">
      <f>'FY 2016 by Agency'!CN158*Inflator!$E$18</f>
    </oc>
    <nc r="CH159">
      <f>'FY 2016 by Agency'!CN160*Inflator!$E$18</f>
    </nc>
  </rcc>
  <rcc rId="694" sId="5">
    <oc r="CH160">
      <f>'FY 2016 by Agency'!CN159*Inflator!$E$18</f>
    </oc>
    <nc r="CH160">
      <f>'FY 2016 by Agency'!CN161*Inflator!$E$18</f>
    </nc>
  </rcc>
  <rcc rId="695" sId="5">
    <oc r="CH161">
      <f>'FY 2016 by Agency'!CN160*Inflator!$E$18</f>
    </oc>
    <nc r="CH161">
      <f>'FY 2016 by Agency'!CN162*Inflator!$E$18</f>
    </nc>
  </rcc>
  <rcc rId="696" sId="5">
    <oc r="CH162">
      <f>'FY 2016 by Agency'!CN161*Inflator!$E$18</f>
    </oc>
    <nc r="CH162">
      <f>'FY 2016 by Agency'!CN163*Inflator!$E$18</f>
    </nc>
  </rcc>
  <rcc rId="697" sId="5">
    <oc r="CH163">
      <f>'FY 2016 by Agency'!CN162*Inflator!$E$18</f>
    </oc>
    <nc r="CH163">
      <f>'FY 2016 by Agency'!CN164*Inflator!$E$18</f>
    </nc>
  </rcc>
  <rcc rId="698" sId="5">
    <oc r="CH164">
      <f>'FY 2016 by Agency'!CN163*Inflator!$E$18</f>
    </oc>
    <nc r="CH164">
      <f>'FY 2016 by Agency'!CN165*Inflator!$E$18</f>
    </nc>
  </rcc>
  <rcc rId="699" sId="5">
    <oc r="CH165">
      <f>'FY 2016 by Agency'!CN164*Inflator!$E$18</f>
    </oc>
    <nc r="CH165">
      <f>'FY 2016 by Agency'!CN166*Inflator!$E$18</f>
    </nc>
  </rcc>
  <rcc rId="700" sId="5">
    <oc r="CH166">
      <f>'FY 2016 by Agency'!CN165*Inflator!$E$18</f>
    </oc>
    <nc r="CH166">
      <f>'FY 2016 by Agency'!CN167*Inflator!$E$18</f>
    </nc>
  </rcc>
  <rcc rId="701" sId="5">
    <oc r="CH167">
      <f>'FY 2016 by Agency'!CN166*Inflator!$E$18</f>
    </oc>
    <nc r="CH167">
      <f>'FY 2016 by Agency'!CN168*Inflator!$E$18</f>
    </nc>
  </rcc>
  <rcc rId="702" sId="5">
    <oc r="CH168">
      <f>'FY 2016 by Agency'!CN167*Inflator!$E$18</f>
    </oc>
    <nc r="CH168">
      <f>'FY 2016 by Agency'!CN169*Inflator!$E$18</f>
    </nc>
  </rcc>
  <rcc rId="703" sId="5">
    <oc r="CH169">
      <f>'FY 2016 by Agency'!CN168*Inflator!$E$18</f>
    </oc>
    <nc r="CH169">
      <f>'FY 2016 by Agency'!CN170*Inflator!$E$18</f>
    </nc>
  </rcc>
  <rcc rId="704" sId="5">
    <oc r="CH170">
      <f>'FY 2016 by Agency'!CN169*Inflator!$E$18</f>
    </oc>
    <nc r="CH170">
      <f>'FY 2016 by Agency'!CN171*Inflator!$E$18</f>
    </nc>
  </rcc>
  <rcc rId="705" sId="5">
    <oc r="CH171">
      <f>'FY 2016 by Agency'!CN170*Inflator!$E$18</f>
    </oc>
    <nc r="CH171">
      <f>'FY 2016 by Agency'!CN172*Inflator!$E$18</f>
    </nc>
  </rcc>
  <rcc rId="706" sId="5">
    <oc r="CH172">
      <f>'FY 2016 by Agency'!CN171*Inflator!$E$18</f>
    </oc>
    <nc r="CH172">
      <f>'FY 2016 by Agency'!CN173*Inflator!$E$18</f>
    </nc>
  </rcc>
  <rcc rId="707" sId="5">
    <oc r="CH173">
      <f>'FY 2016 by Agency'!CN172*Inflator!$E$18</f>
    </oc>
    <nc r="CH173">
      <f>'FY 2016 by Agency'!CN174*Inflator!$E$18</f>
    </nc>
  </rcc>
</revisions>
</file>

<file path=xl/revisions/revisionLog3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708" sId="4">
    <nc r="CN142">
      <f>SUM(CN128:CN141)</f>
    </nc>
  </rcc>
  <rcc rId="709" sId="4">
    <oc r="CI142">
      <f>SUM(CI128:CI141)</f>
    </oc>
    <nc r="CI142">
      <f>SUM(CI128:CI141)</f>
    </nc>
  </rcc>
  <rcc rId="710" sId="4">
    <nc r="CK142">
      <f>SUM(CK128:CK141)</f>
    </nc>
  </rcc>
</revisions>
</file>

<file path=xl/revisions/revisionLog3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711" sId="4">
    <nc r="CK117">
      <f>SUM(CK93:CK116)</f>
    </nc>
  </rcc>
  <rcc rId="712" sId="4">
    <nc r="CN117">
      <f>SUM(CN93:CN116)</f>
    </nc>
  </rcc>
</revisions>
</file>

<file path=xl/revisions/revisionLog3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713" sId="5">
    <oc r="CJ141">
      <f>CI141/CE141</f>
    </oc>
    <nc r="CJ141">
      <f>CI141/CE141</f>
    </nc>
  </rcc>
  <rfmt sheetId="4" sqref="CP117">
    <dxf>
      <numFmt numFmtId="13" formatCode="0%"/>
    </dxf>
  </rfmt>
  <rfmt sheetId="4" sqref="CP117">
    <dxf>
      <numFmt numFmtId="164" formatCode="0.0%"/>
    </dxf>
  </rfmt>
  <rfmt sheetId="4" sqref="CP93:CP117">
    <dxf>
      <numFmt numFmtId="13" formatCode="0%"/>
    </dxf>
  </rfmt>
  <rfmt sheetId="4" sqref="CP93:CP117">
    <dxf>
      <numFmt numFmtId="164" formatCode="0.0%"/>
    </dxf>
  </rfmt>
  <rfmt sheetId="4" sqref="CP128:CP142">
    <dxf>
      <numFmt numFmtId="13" formatCode="0%"/>
    </dxf>
  </rfmt>
  <rfmt sheetId="4" sqref="CP128:CP142">
    <dxf>
      <numFmt numFmtId="164" formatCode="0.0%"/>
    </dxf>
  </rfmt>
</revisions>
</file>

<file path=xl/revisions/revisionLog3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714" sId="4" numFmtId="11">
    <oc r="CF155">
      <f>CD155+CE155</f>
    </oc>
    <nc r="CF155">
      <v>216232</v>
    </nc>
  </rcc>
  <rcc rId="715" sId="4" odxf="1" dxf="1" numFmtId="4">
    <nc r="CN155">
      <v>269682</v>
    </nc>
    <odxf>
      <numFmt numFmtId="0" formatCode="General"/>
    </odxf>
    <ndxf>
      <numFmt numFmtId="3" formatCode="#,##0"/>
    </ndxf>
  </rcc>
  <rcc rId="716" sId="4" numFmtId="11">
    <oc r="CF156">
      <f>CD156+CE156</f>
    </oc>
    <nc r="CF156">
      <v>158089</v>
    </nc>
  </rcc>
  <rcc rId="717" sId="4" odxf="1" dxf="1" numFmtId="4">
    <nc r="CN156">
      <v>165349</v>
    </nc>
    <ndxf>
      <numFmt numFmtId="3" formatCode="#,##0"/>
    </ndxf>
  </rcc>
  <rcc rId="718" sId="4" odxf="1" dxf="1" numFmtId="4">
    <nc r="CN160">
      <v>41778</v>
    </nc>
    <odxf>
      <numFmt numFmtId="0" formatCode="General"/>
    </odxf>
    <ndxf>
      <numFmt numFmtId="3" formatCode="#,##0"/>
    </ndxf>
  </rcc>
  <rfmt sheetId="4" sqref="CN160">
    <dxf>
      <fill>
        <patternFill patternType="solid">
          <bgColor rgb="FFFFFF00"/>
        </patternFill>
      </fill>
    </dxf>
  </rfmt>
  <rcc rId="719" sId="4" numFmtId="11">
    <oc r="CF160">
      <f>CD160+CE160</f>
    </oc>
    <nc r="CF160">
      <v>36968</v>
    </nc>
  </rcc>
  <rfmt sheetId="4" sqref="CF160">
    <dxf>
      <fill>
        <patternFill patternType="solid">
          <bgColor rgb="FFFFFF00"/>
        </patternFill>
      </fill>
    </dxf>
  </rfmt>
  <rcc rId="720" sId="4" numFmtId="11">
    <oc r="CF161">
      <f>CD161+CE161</f>
    </oc>
    <nc r="CF161">
      <v>27884</v>
    </nc>
  </rcc>
  <rcc rId="721" sId="4" odxf="1" dxf="1" numFmtId="4">
    <nc r="CN161">
      <v>31069</v>
    </nc>
    <odxf>
      <numFmt numFmtId="0" formatCode="General"/>
    </odxf>
    <ndxf>
      <numFmt numFmtId="3" formatCode="#,##0"/>
    </ndxf>
  </rcc>
  <rcc rId="722" sId="4" numFmtId="11">
    <oc r="CF162">
      <f>CD162+CE162</f>
    </oc>
    <nc r="CF162">
      <v>6620</v>
    </nc>
  </rcc>
  <rcc rId="723" sId="4" odxf="1" dxf="1" numFmtId="4">
    <nc r="CN162">
      <v>6887</v>
    </nc>
    <ndxf>
      <numFmt numFmtId="3" formatCode="#,##0"/>
    </ndxf>
  </rcc>
  <rcc rId="724" sId="4" numFmtId="11">
    <oc r="CF163">
      <f>CD163+CE163</f>
    </oc>
    <nc r="CF163">
      <v>21330</v>
    </nc>
  </rcc>
  <rfmt sheetId="4" sqref="CN163" start="0" length="0">
    <dxf>
      <numFmt numFmtId="3" formatCode="#,##0"/>
    </dxf>
  </rfmt>
  <rcc rId="725" sId="4" numFmtId="4">
    <nc r="CN163">
      <v>20221</v>
    </nc>
  </rcc>
  <rcc rId="726" sId="4" numFmtId="11">
    <oc r="CF164">
      <f>CD164+CE164</f>
    </oc>
    <nc r="CF164">
      <v>2710</v>
    </nc>
  </rcc>
  <rcc rId="727" sId="4" odxf="1" dxf="1" numFmtId="4">
    <nc r="CN164">
      <v>3451</v>
    </nc>
    <odxf>
      <numFmt numFmtId="0" formatCode="General"/>
    </odxf>
    <ndxf>
      <numFmt numFmtId="3" formatCode="#,##0"/>
    </ndxf>
  </rcc>
  <rcc rId="728" sId="4" numFmtId="11">
    <oc r="CF165">
      <f>CD165+CE165</f>
    </oc>
    <nc r="CF165">
      <v>2697</v>
    </nc>
  </rcc>
  <rcc rId="729" sId="4" odxf="1" dxf="1" numFmtId="4">
    <nc r="CN165">
      <v>2782</v>
    </nc>
    <odxf>
      <numFmt numFmtId="0" formatCode="General"/>
    </odxf>
    <ndxf>
      <numFmt numFmtId="3" formatCode="#,##0"/>
    </ndxf>
  </rcc>
  <rcc rId="730" sId="4" numFmtId="11">
    <oc r="CF167">
      <f>CD167+CE167</f>
    </oc>
    <nc r="CF167">
      <v>11400</v>
    </nc>
  </rcc>
  <rcc rId="731" sId="4" odxf="1" dxf="1" numFmtId="4">
    <nc r="CN167">
      <v>3000</v>
    </nc>
    <odxf>
      <numFmt numFmtId="0" formatCode="General"/>
    </odxf>
    <ndxf>
      <numFmt numFmtId="3" formatCode="#,##0"/>
    </ndxf>
  </rcc>
  <rcc rId="732" sId="4" numFmtId="11">
    <oc r="CF168">
      <f>CD168+CE168</f>
    </oc>
    <nc r="CF168">
      <v>867</v>
    </nc>
  </rcc>
  <rcc rId="733" sId="4">
    <nc r="CN168">
      <v>835</v>
    </nc>
  </rcc>
  <rcc rId="734" sId="4" numFmtId="11">
    <oc r="CF169">
      <f>CD169+CE169</f>
    </oc>
    <nc r="CF169">
      <v>406</v>
    </nc>
  </rcc>
  <rcc rId="735" sId="4">
    <nc r="CN169">
      <v>419</v>
    </nc>
  </rcc>
  <rcc rId="736" sId="4" numFmtId="11">
    <oc r="CF170">
      <f>CD170+CE170</f>
    </oc>
    <nc r="CF170">
      <v>99826</v>
    </nc>
  </rcc>
  <rcc rId="737" sId="4" odxf="1" dxf="1" numFmtId="4">
    <nc r="CN170">
      <v>106019</v>
    </nc>
    <odxf>
      <numFmt numFmtId="0" formatCode="General"/>
    </odxf>
    <ndxf>
      <numFmt numFmtId="3" formatCode="#,##0"/>
    </ndxf>
  </rcc>
  <rcc rId="738" sId="4" numFmtId="11">
    <oc r="CF171">
      <f>CD171+CE171</f>
    </oc>
    <nc r="CF171">
      <v>61761</v>
    </nc>
  </rcc>
  <rcc rId="739" sId="4" odxf="1" dxf="1" numFmtId="4">
    <nc r="CN171">
      <v>124988</v>
    </nc>
    <odxf>
      <numFmt numFmtId="0" formatCode="General"/>
    </odxf>
    <ndxf>
      <numFmt numFmtId="3" formatCode="#,##0"/>
    </ndxf>
  </rcc>
  <rcc rId="740" sId="4" numFmtId="11">
    <oc r="CF158">
      <f>CD158+CE158</f>
    </oc>
    <nc r="CF158">
      <v>1126</v>
    </nc>
  </rcc>
  <rcc rId="741" sId="4" odxf="1" dxf="1" numFmtId="4">
    <nc r="CN158">
      <v>1391</v>
    </nc>
    <odxf>
      <numFmt numFmtId="0" formatCode="General"/>
    </odxf>
    <ndxf>
      <numFmt numFmtId="3" formatCode="#,##0"/>
    </ndxf>
  </rcc>
  <rcc rId="742" sId="4" numFmtId="11">
    <oc r="CF191">
      <f>CD191+CE191</f>
    </oc>
    <nc r="CF191">
      <v>137389</v>
    </nc>
  </rcc>
  <rcc rId="743" sId="4" odxf="1" dxf="1" numFmtId="4">
    <nc r="CN191">
      <v>130951</v>
    </nc>
    <ndxf>
      <numFmt numFmtId="3" formatCode="#,##0"/>
    </ndxf>
  </rcc>
  <rcc rId="744" sId="4" numFmtId="11">
    <oc r="CF192">
      <f>CD192+CE192</f>
    </oc>
    <nc r="CF192">
      <v>83523</v>
    </nc>
  </rcc>
  <rfmt sheetId="4" sqref="CN192" start="0" length="0">
    <dxf>
      <numFmt numFmtId="3" formatCode="#,##0"/>
    </dxf>
  </rfmt>
  <rfmt sheetId="4" sqref="A192">
    <dxf>
      <fill>
        <patternFill patternType="solid">
          <bgColor rgb="FFFFFF00"/>
        </patternFill>
      </fill>
    </dxf>
  </rfmt>
  <rcc rId="745" sId="4" numFmtId="11">
    <oc r="CF193">
      <f>CD193+CE193</f>
    </oc>
    <nc r="CF193">
      <v>34031</v>
    </nc>
  </rcc>
  <rcc rId="746" sId="4" odxf="1" dxf="1" numFmtId="4">
    <nc r="CN193">
      <v>38605</v>
    </nc>
    <odxf>
      <numFmt numFmtId="0" formatCode="General"/>
    </odxf>
    <ndxf>
      <numFmt numFmtId="3" formatCode="#,##0"/>
    </ndxf>
  </rcc>
  <rcc rId="747" sId="4" numFmtId="11">
    <oc r="CF194">
      <f>CD194+CE194</f>
    </oc>
    <nc r="CF194">
      <v>54311</v>
    </nc>
  </rcc>
  <rcc rId="748" sId="4" odxf="1" dxf="1" numFmtId="4">
    <nc r="CN194">
      <v>77881</v>
    </nc>
    <odxf>
      <numFmt numFmtId="0" formatCode="General"/>
    </odxf>
    <ndxf>
      <numFmt numFmtId="3" formatCode="#,##0"/>
    </ndxf>
  </rcc>
  <rcc rId="749" sId="4" numFmtId="11">
    <oc r="CF195">
      <f>CD195+CE195</f>
    </oc>
    <nc r="CF195">
      <v>4216</v>
    </nc>
  </rcc>
  <rfmt sheetId="4" sqref="CN195" start="0" length="0">
    <dxf>
      <numFmt numFmtId="3" formatCode="#,##0"/>
    </dxf>
  </rfmt>
  <rcc rId="750" sId="4" numFmtId="11">
    <oc r="CF197">
      <f>CD197+CE197</f>
    </oc>
    <nc r="CF197">
      <v>309436</v>
    </nc>
  </rcc>
  <rfmt sheetId="4" sqref="CN197" start="0" length="0">
    <dxf>
      <numFmt numFmtId="3" formatCode="#,##0"/>
    </dxf>
  </rfmt>
  <rcc rId="751" sId="4" numFmtId="4">
    <nc r="CN192">
      <f>103471+2177+490</f>
    </nc>
  </rcc>
  <rfmt sheetId="4" sqref="A192">
    <dxf>
      <fill>
        <patternFill patternType="none">
          <bgColor auto="1"/>
        </patternFill>
      </fill>
    </dxf>
  </rfmt>
  <rcc rId="752" sId="4">
    <nc r="CN196">
      <v>127</v>
    </nc>
  </rcc>
  <rcc rId="753" sId="4">
    <nc r="CN197">
      <f>372213+1000</f>
    </nc>
  </rcc>
  <rcc rId="754" sId="4" numFmtId="4">
    <nc r="CN195">
      <f>8399-1000</f>
    </nc>
  </rcc>
  <rcmt sheetId="4" cell="CN192" guid="{021E1843-F944-4CB7-AF00-60C9FDAB3783}" author="Kate Coventry" newLength="65"/>
  <rcmt sheetId="4" cell="CN195" guid="{A6BC237F-1257-4965-8301-AA5B853B8B40}" author="Kate Coventry" newLength="91"/>
  <rcmt sheetId="4" cell="CN197" guid="{520F3712-B1DE-411D-97D6-BB0736349B76}" author="Kate Coventry" newLength="83"/>
  <rcv guid="{AB763728-FC8E-40B1-8BAD-FF6772AD9A46}" action="add"/>
  <rm rId="755" sheetId="7" source="A4:A5" destination="A9:A10" sourceSheetId="7">
    <rfmt sheetId="7" sqref="A9" start="0" length="0">
      <dxf>
        <font>
          <sz val="11"/>
          <color auto="1"/>
          <name val="Calibri"/>
          <scheme val="minor"/>
        </font>
      </dxf>
    </rfmt>
    <rfmt sheetId="7" sqref="A10" start="0" length="0">
      <dxf>
        <font>
          <sz val="11"/>
          <color auto="1"/>
          <name val="Calibri"/>
          <scheme val="minor"/>
        </font>
      </dxf>
    </rfmt>
  </rm>
  <rcmt sheetId="4" cell="CN192" guid="{91761D32-FF60-472A-9FCF-6F5227554790}" author="Kate Coventry" newLength="65"/>
  <rcmt sheetId="4" cell="CN195" guid="{8CAD969C-B3EC-4B05-9421-0747ED6BE7F1}" author="Kate Coventry" newLength="91"/>
  <rcmt sheetId="4" cell="CN197" guid="{305F66B5-E8D6-4245-BF64-121DBCB2BE77}" author="Kate Coventry" newLength="83"/>
  <rcv guid="{AB763728-FC8E-40B1-8BAD-FF6772AD9A46}" action="delete"/>
  <rcv guid="{AB763728-FC8E-40B1-8BAD-FF6772AD9A46}" action="add"/>
  <rm rId="756" sheetId="7" source="A9:A10" destination="A26:A27" sourceSheetId="7">
    <rfmt sheetId="7" sqref="A26" start="0" length="0">
      <dxf>
        <font>
          <sz val="11"/>
          <color auto="1"/>
          <name val="Calibri"/>
          <scheme val="minor"/>
        </font>
      </dxf>
    </rfmt>
    <rfmt sheetId="7" sqref="A27" start="0" length="0">
      <dxf>
        <font>
          <sz val="11"/>
          <color auto="1"/>
          <name val="Calibri"/>
          <scheme val="minor"/>
        </font>
      </dxf>
    </rfmt>
  </rm>
  <rcmt sheetId="4" cell="CN192" guid="{2FC9CE58-65E9-4F33-A7D1-6A5446D87F1F}" author="Kate Coventry" newLength="65"/>
  <rcmt sheetId="4" cell="CN195" guid="{1DC47100-7A59-4C90-AA34-596BF795E8F4}" author="Kate Coventry" newLength="91"/>
  <rcmt sheetId="4" cell="CN197" guid="{3E475003-6645-492A-BE18-B927EB023775}" author="Kate Coventry" newLength="83"/>
  <rcv guid="{AB763728-FC8E-40B1-8BAD-FF6772AD9A46}" action="add"/>
  <rcmt sheetId="4" cell="CN192" guid="{2165D81A-EABB-46B6-8285-561A2CFD1624}" author="Kate Coventry" newLength="65"/>
  <rcmt sheetId="4" cell="CN195" guid="{2EC26C8F-DA57-46FE-9344-A2D254D47D5D}" author="Kate Coventry" newLength="91"/>
  <rcmt sheetId="4" cell="CN197" guid="{AE88A5B6-CBDB-4833-8CBF-64F6FBBF030D}" author="Kate Coventry" newLength="83"/>
  <rcv guid="{AB763728-FC8E-40B1-8BAD-FF6772AD9A46}" action="add"/>
</revisions>
</file>

<file path=xl/revisions/revisionLog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6" sId="6">
    <nc r="G18" t="inlineStr">
      <is>
        <t>Hi Merrit!</t>
      </is>
    </nc>
  </rcc>
</revisions>
</file>

<file path=xl/revisions/revisionLog4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mt sheetId="4" cell="CN137" guid="{162FB28E-7500-4C69-A017-915A76FE58D6}" alwaysShow="1" author="bhat" newLength="81"/>
</revisions>
</file>

<file path=xl/revisions/revisionLog4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7" sqref="B9" start="0" length="0">
    <dxf>
      <numFmt numFmtId="10" formatCode="&quot;$&quot;#,##0_);[Red]\(&quot;$&quot;#,##0\)"/>
    </dxf>
  </rfmt>
</revisions>
</file>

<file path=xl/revisions/revisionLog4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4" xfDxf="1" sqref="CF172" start="0" length="0">
    <dxf>
      <font>
        <sz val="11"/>
        <name val="Calibri"/>
        <scheme val="minor"/>
      </font>
      <numFmt numFmtId="165" formatCode="&quot;$&quot;#,##0"/>
    </dxf>
  </rfmt>
  <rcc rId="757" sId="4" xfDxf="1" dxf="1" numFmtId="11">
    <oc r="CF172">
      <f>CD172+CE172</f>
    </oc>
    <nc r="CF172">
      <v>782513</v>
    </nc>
    <ndxf>
      <font>
        <sz val="11"/>
        <name val="Calibri"/>
        <scheme val="minor"/>
      </font>
      <numFmt numFmtId="165" formatCode="&quot;$&quot;#,##0"/>
    </ndxf>
  </rcc>
  <rcc rId="758" sId="4">
    <nc r="CK172">
      <f>CI172+CJ172</f>
    </nc>
  </rcc>
  <rfmt sheetId="4" sqref="CN172" start="0" length="0">
    <dxf>
      <numFmt numFmtId="3" formatCode="#,##0"/>
    </dxf>
  </rfmt>
  <rcc rId="759" sId="4" xfDxf="1" dxf="1" numFmtId="4">
    <nc r="CN172">
      <v>759552</v>
    </nc>
    <ndxf>
      <font>
        <sz val="11"/>
        <name val="Calibri"/>
        <scheme val="minor"/>
      </font>
      <numFmt numFmtId="3" formatCode="#,##0"/>
    </ndxf>
  </rcc>
  <rfmt sheetId="4" sqref="CN173" start="0" length="0">
    <dxf>
      <numFmt numFmtId="3" formatCode="#,##0"/>
    </dxf>
  </rfmt>
  <rcc rId="760" sId="4" xfDxf="1" dxf="1" numFmtId="4">
    <nc r="CN173">
      <v>29614</v>
    </nc>
    <ndxf>
      <font>
        <sz val="11"/>
        <name val="Calibri"/>
        <scheme val="minor"/>
      </font>
      <numFmt numFmtId="3" formatCode="#,##0"/>
    </ndxf>
  </rcc>
  <rcc rId="761" sId="4">
    <nc r="CK173">
      <f>CI173+CJ173</f>
    </nc>
  </rcc>
  <rcc rId="762" sId="4">
    <nc r="CM173">
      <f>CL173/CF173</f>
    </nc>
  </rcc>
  <rcc rId="763" sId="5">
    <oc r="A172" t="inlineStr">
      <is>
        <t>Medicaid Reserve</t>
      </is>
    </oc>
    <nc r="A172" t="inlineStr">
      <is>
        <t>Health Benefit Exchange Authority</t>
      </is>
    </nc>
  </rcc>
  <rcc rId="764" sId="4" odxf="1" dxf="1">
    <oc r="A173" t="inlineStr">
      <is>
        <t>DC Health Benefit Exchange Subsidy^^^</t>
      </is>
    </oc>
    <nc r="A173" t="inlineStr">
      <is>
        <t>Health Benefit Exchange Authority</t>
      </is>
    </nc>
    <odxf/>
    <ndxf/>
  </rcc>
  <rcc rId="765" sId="5" odxf="1" dxf="1">
    <oc r="X172">
      <f>'FY 2016 by Agency'!X175*Inflator!$E$10</f>
    </oc>
    <nc r="X172">
      <f>'FY 2016 by Agency'!X173*Inflator!$E$10</f>
    </nc>
    <odxf/>
    <ndxf/>
  </rcc>
  <rcc rId="766" sId="5" odxf="1" dxf="1">
    <oc r="Y172">
      <f>X172-U172</f>
    </oc>
    <nc r="Y172">
      <f>X172-U172</f>
    </nc>
    <odxf/>
    <ndxf/>
  </rcc>
  <rcc rId="767" sId="5" odxf="1" dxf="1">
    <oc r="U172">
      <f>'FY 2016 by Agency'!U175*Inflator!$E$9</f>
    </oc>
    <nc r="U172">
      <f>'FY 2016 by Agency'!U173*Inflator!$E$9</f>
    </nc>
    <odxf/>
    <ndxf/>
  </rcc>
  <rcc rId="768" sId="5" odxf="1" dxf="1">
    <oc r="L172">
      <f>'FY 2016 by Agency'!L175*Inflator!$E$6</f>
    </oc>
    <nc r="L172">
      <f>'FY 2016 by Agency'!L173*Inflator!$E$6</f>
    </nc>
    <odxf/>
    <ndxf/>
  </rcc>
  <rcv guid="{FF124C4D-20DF-4C1B-B072-A9ABB2F1106A}" action="delete"/>
  <rcv guid="{FF124C4D-20DF-4C1B-B072-A9ABB2F1106A}" action="add"/>
</revisions>
</file>

<file path=xl/revisions/revisionLog4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7" xfDxf="1" s="1" sqref="A9" start="0" length="0">
    <dxf>
      <font>
        <b val="0"/>
        <i val="0"/>
        <strike val="0"/>
        <condense val="0"/>
        <extend val="0"/>
        <outline val="0"/>
        <shadow val="0"/>
        <u val="none"/>
        <vertAlign val="baseline"/>
        <sz val="11"/>
        <color auto="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rfmt>
  <rfmt sheetId="7" xfDxf="1" s="1" sqref="A10" start="0" length="0">
    <dxf>
      <font>
        <b val="0"/>
        <i val="0"/>
        <strike val="0"/>
        <condense val="0"/>
        <extend val="0"/>
        <outline val="0"/>
        <shadow val="0"/>
        <u val="none"/>
        <vertAlign val="baseline"/>
        <sz val="11"/>
        <color auto="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rfmt>
  <rrc rId="769" sId="7" ref="A9:XFD9" action="insertRow"/>
  <rcc rId="770" sId="7">
    <nc r="A9" t="inlineStr">
      <is>
        <t>DDOT</t>
      </is>
    </nc>
  </rcc>
  <rcc rId="771" sId="7" numFmtId="11">
    <nc r="B9">
      <v>2177</v>
    </nc>
  </rcc>
  <rcc rId="772" sId="7">
    <nc r="C9" t="inlineStr">
      <is>
        <t>Transfer to OCP</t>
      </is>
    </nc>
  </rcc>
  <rrc rId="773" sId="7" ref="A10:XFD10" action="insertRow"/>
  <rrc rId="774" sId="7" ref="A10:XFD10" action="insertRow"/>
  <rcc rId="775" sId="7">
    <nc r="A10" t="inlineStr">
      <is>
        <t>DDOT</t>
      </is>
    </nc>
  </rcc>
  <rcc rId="776" sId="7" numFmtId="11">
    <nc r="B10">
      <v>490</v>
    </nc>
  </rcc>
  <rcc rId="777" sId="7">
    <nc r="C10" t="inlineStr">
      <is>
        <t>Transfer to OCP</t>
      </is>
    </nc>
  </rcc>
  <rcc rId="778" sId="7">
    <nc r="A11" t="inlineStr">
      <is>
        <t>OCP</t>
      </is>
    </nc>
  </rcc>
  <rcc rId="779" sId="7" numFmtId="11">
    <nc r="B11">
      <v>2177</v>
    </nc>
  </rcc>
  <rcc rId="780" sId="7">
    <nc r="C11" t="inlineStr">
      <is>
        <t>Transfer from DDOT</t>
      </is>
    </nc>
  </rcc>
  <rrc rId="781" sId="7" ref="A12:XFD12" action="insertRow"/>
  <rcc rId="782" sId="7">
    <nc r="A12" t="inlineStr">
      <is>
        <t>OCP</t>
      </is>
    </nc>
  </rcc>
  <rcc rId="783" sId="7" numFmtId="11">
    <nc r="B12">
      <v>490</v>
    </nc>
  </rcc>
  <rcc rId="784" sId="7">
    <nc r="C12" t="inlineStr">
      <is>
        <t>Transfer from DDOT</t>
      </is>
    </nc>
  </rcc>
  <rcc rId="785" sId="7">
    <nc r="A13" t="inlineStr">
      <is>
        <t>WMATA</t>
      </is>
    </nc>
  </rcc>
  <rcc rId="786" sId="7">
    <nc r="B13">
      <v>1000</v>
    </nc>
  </rcc>
  <rcc rId="787" sId="7">
    <nc r="C13" t="inlineStr">
      <is>
        <t>Transfer to DC Taxicab Commission to support Paratransit program</t>
      </is>
    </nc>
  </rcc>
  <rcc rId="788" sId="7">
    <nc r="A14" t="inlineStr">
      <is>
        <t>DC Taxicab Commission</t>
      </is>
    </nc>
  </rcc>
  <rcc rId="789" sId="7">
    <nc r="B14">
      <v>1000</v>
    </nc>
  </rcc>
  <rcc rId="790" sId="7">
    <nc r="C14" t="inlineStr">
      <is>
        <t>Transfer from WMATA to support Paratransit program</t>
      </is>
    </nc>
  </rcc>
  <rcc rId="791" sId="4" numFmtId="4">
    <oc r="CN23">
      <v>21343</v>
    </oc>
    <nc r="CN23">
      <f>21343-2177-490</f>
    </nc>
  </rcc>
  <rcc rId="792" sId="4" numFmtId="11">
    <nc r="CF173">
      <v>0</v>
    </nc>
  </rcc>
</revisions>
</file>

<file path=xl/revisions/revisionLog4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793" sId="4" numFmtId="11">
    <nc r="CJ25">
      <v>-5500</v>
    </nc>
  </rcc>
  <rcc rId="794" sId="4" numFmtId="11">
    <nc r="CJ13">
      <v>-100</v>
    </nc>
  </rcc>
  <rcc rId="795" sId="4" numFmtId="11">
    <nc r="CJ23">
      <v>-500</v>
    </nc>
  </rcc>
  <rcc rId="796" sId="4" numFmtId="11">
    <nc r="CJ16">
      <v>-200</v>
    </nc>
  </rcc>
  <rcc rId="797" sId="4" numFmtId="11">
    <nc r="CJ28">
      <v>-200</v>
    </nc>
  </rcc>
  <rcv guid="{FF124C4D-20DF-4C1B-B072-A9ABB2F1106A}" action="delete"/>
  <rcv guid="{FF124C4D-20DF-4C1B-B072-A9ABB2F1106A}" action="add"/>
</revisions>
</file>

<file path=xl/revisions/revisionLog4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798" sId="4" numFmtId="11">
    <nc r="CJ172">
      <v>-25000</v>
    </nc>
  </rcc>
</revisions>
</file>

<file path=xl/revisions/revisionLog4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799" sId="4">
    <oc r="CO49">
      <f>CN49-CK49</f>
    </oc>
    <nc r="CO49"/>
  </rcc>
  <rcc rId="800" sId="4">
    <oc r="CP49">
      <f>CO49/CK49</f>
    </oc>
    <nc r="CP49"/>
  </rcc>
  <rcc rId="801" sId="4">
    <oc r="CO50">
      <f>CN50-CK50</f>
    </oc>
    <nc r="CO50"/>
  </rcc>
  <rcc rId="802" sId="4">
    <oc r="CP50">
      <f>CO50/CK50</f>
    </oc>
    <nc r="CP50"/>
  </rcc>
  <rcc rId="803" sId="4">
    <oc r="CO51">
      <f>CN51-CK51</f>
    </oc>
    <nc r="CO51"/>
  </rcc>
  <rcc rId="804" sId="4">
    <oc r="CP51">
      <f>CO51/CK51</f>
    </oc>
    <nc r="CP51"/>
  </rcc>
  <rcc rId="805" sId="4">
    <oc r="CO52">
      <f>CN52-CK52</f>
    </oc>
    <nc r="CO52"/>
  </rcc>
  <rcc rId="806" sId="4">
    <oc r="CP52">
      <f>CO52/CK52</f>
    </oc>
    <nc r="CP52"/>
  </rcc>
  <rcc rId="807" sId="4">
    <oc r="CO53">
      <f>CN53-CK53</f>
    </oc>
    <nc r="CO53"/>
  </rcc>
  <rcc rId="808" sId="4">
    <oc r="CP53">
      <f>CO53/CK53</f>
    </oc>
    <nc r="CP53"/>
  </rcc>
  <rcc rId="809" sId="4">
    <oc r="CO54">
      <f>CN54-CK54</f>
    </oc>
    <nc r="CO54"/>
  </rcc>
  <rcc rId="810" sId="4">
    <oc r="CP54">
      <f>CO54/CK54</f>
    </oc>
    <nc r="CP54"/>
  </rcc>
  <rcc rId="811" sId="4">
    <oc r="CO55">
      <f>CN55-CK55</f>
    </oc>
    <nc r="CO55"/>
  </rcc>
  <rcc rId="812" sId="4">
    <oc r="CP55">
      <f>CO55/CK55</f>
    </oc>
    <nc r="CP55"/>
  </rcc>
  <rcc rId="813" sId="4">
    <oc r="CO56">
      <f>CN56-CK56</f>
    </oc>
    <nc r="CO56"/>
  </rcc>
  <rcc rId="814" sId="4">
    <oc r="CP56">
      <f>CO56/CK56</f>
    </oc>
    <nc r="CP56"/>
  </rcc>
  <rcc rId="815" sId="4">
    <oc r="CO57">
      <f>CN57-CK57</f>
    </oc>
    <nc r="CO57"/>
  </rcc>
  <rcc rId="816" sId="4">
    <oc r="CP57">
      <f>CO57/CK57</f>
    </oc>
    <nc r="CP57"/>
  </rcc>
  <rcc rId="817" sId="4" odxf="1" dxf="1">
    <oc r="CO58">
      <f>CN58-CK58</f>
    </oc>
    <nc r="CO58"/>
    <ndxf>
      <numFmt numFmtId="0" formatCode="General"/>
      <fill>
        <patternFill patternType="solid">
          <bgColor rgb="FFBFBFBF"/>
        </patternFill>
      </fill>
    </ndxf>
  </rcc>
  <rcc rId="818" sId="4" odxf="1" dxf="1">
    <oc r="CP58">
      <f>CO58/CK58</f>
    </oc>
    <nc r="CP58"/>
    <ndxf>
      <numFmt numFmtId="0" formatCode="General"/>
      <fill>
        <patternFill patternType="solid">
          <bgColor rgb="FFBFBFBF"/>
        </patternFill>
      </fill>
    </ndxf>
  </rcc>
  <rcc rId="819" sId="4" odxf="1" dxf="1">
    <nc r="CN83">
      <f>CN82-CN79-CN65-CN64-CN66</f>
    </nc>
    <odxf>
      <numFmt numFmtId="0" formatCode="General"/>
    </odxf>
    <ndxf>
      <numFmt numFmtId="165" formatCode="&quot;$&quot;#,##0"/>
    </ndxf>
  </rcc>
  <rcc rId="820" sId="4">
    <nc r="CK83">
      <f>CK82-CK79-CK65-CK64-CK66</f>
    </nc>
  </rcc>
  <rcc rId="821" sId="4">
    <oc r="CO118">
      <f>CN118-CK118</f>
    </oc>
    <nc r="CO118"/>
  </rcc>
  <rcc rId="822" sId="4">
    <oc r="CP118">
      <f>CO118/CK118</f>
    </oc>
    <nc r="CP118"/>
  </rcc>
  <rcc rId="823" sId="4">
    <oc r="CO119">
      <f>CN119-CK119</f>
    </oc>
    <nc r="CO119"/>
  </rcc>
  <rcc rId="824" sId="4">
    <oc r="CP119">
      <f>CO119/CK119</f>
    </oc>
    <nc r="CP119"/>
  </rcc>
  <rcc rId="825" sId="4">
    <oc r="CO120">
      <f>CN120-CK120</f>
    </oc>
    <nc r="CO120"/>
  </rcc>
  <rcc rId="826" sId="4">
    <oc r="CP120">
      <f>CO120/CK120</f>
    </oc>
    <nc r="CP120"/>
  </rcc>
  <rcc rId="827" sId="4">
    <oc r="CO121">
      <f>CN121-CK121</f>
    </oc>
    <nc r="CO121"/>
  </rcc>
  <rcc rId="828" sId="4">
    <oc r="CP121">
      <f>CO121/CK121</f>
    </oc>
    <nc r="CP121"/>
  </rcc>
  <rcc rId="829" sId="4">
    <oc r="CO122">
      <f>CN122-CK122</f>
    </oc>
    <nc r="CO122"/>
  </rcc>
  <rcc rId="830" sId="4">
    <oc r="CP122">
      <f>CO122/CK122</f>
    </oc>
    <nc r="CP122"/>
  </rcc>
  <rcc rId="831" sId="4">
    <oc r="CO123">
      <f>CN123-CK123</f>
    </oc>
    <nc r="CO123"/>
  </rcc>
  <rcc rId="832" sId="4">
    <oc r="CP123">
      <f>CO123/CK123</f>
    </oc>
    <nc r="CP123"/>
  </rcc>
  <rcc rId="833" sId="4">
    <oc r="CO124">
      <f>CN124-CK124</f>
    </oc>
    <nc r="CO124"/>
  </rcc>
  <rcc rId="834" sId="4">
    <oc r="CP124">
      <f>CO124/CK124</f>
    </oc>
    <nc r="CP124"/>
  </rcc>
  <rcc rId="835" sId="4">
    <oc r="CO125">
      <f>CN125-CK125</f>
    </oc>
    <nc r="CO125"/>
  </rcc>
  <rcc rId="836" sId="4">
    <oc r="CP125">
      <f>CO125/CK125</f>
    </oc>
    <nc r="CP125"/>
  </rcc>
  <rcc rId="837" sId="4">
    <oc r="CO126">
      <f>CN126-CK126</f>
    </oc>
    <nc r="CO126"/>
  </rcc>
  <rcc rId="838" sId="4">
    <oc r="CP126">
      <f>CO126/CK126</f>
    </oc>
    <nc r="CP126"/>
  </rcc>
  <rcc rId="839" sId="4" odxf="1" dxf="1">
    <oc r="CO127">
      <f>CN127-CK127</f>
    </oc>
    <nc r="CO127"/>
    <odxf>
      <numFmt numFmtId="165" formatCode="&quot;$&quot;#,##0"/>
      <fill>
        <patternFill patternType="none">
          <bgColor indexed="65"/>
        </patternFill>
      </fill>
    </odxf>
    <ndxf>
      <numFmt numFmtId="0" formatCode="General"/>
      <fill>
        <patternFill patternType="solid">
          <bgColor theme="0" tint="-0.249977111117893"/>
        </patternFill>
      </fill>
    </ndxf>
  </rcc>
  <rcc rId="840" sId="4" odxf="1" dxf="1">
    <oc r="CP127">
      <f>CO127/CK127</f>
    </oc>
    <nc r="CP127"/>
    <odxf>
      <numFmt numFmtId="165" formatCode="&quot;$&quot;#,##0"/>
      <fill>
        <patternFill patternType="none">
          <bgColor indexed="65"/>
        </patternFill>
      </fill>
    </odxf>
    <ndxf>
      <numFmt numFmtId="0" formatCode="General"/>
      <fill>
        <patternFill patternType="solid">
          <bgColor theme="0" tint="-0.249977111117893"/>
        </patternFill>
      </fill>
    </ndxf>
  </rcc>
  <rcc rId="841" sId="4">
    <oc r="CO143">
      <f>CN143-CK143</f>
    </oc>
    <nc r="CO143"/>
  </rcc>
  <rcc rId="842" sId="4">
    <oc r="CP143">
      <f>CO143/CK143</f>
    </oc>
    <nc r="CP143"/>
  </rcc>
  <rcc rId="843" sId="4">
    <oc r="CO144">
      <f>CN144-CK144</f>
    </oc>
    <nc r="CO144"/>
  </rcc>
  <rcc rId="844" sId="4">
    <oc r="CP144">
      <f>CO144/CK144</f>
    </oc>
    <nc r="CP144"/>
  </rcc>
  <rcc rId="845" sId="4">
    <oc r="CO145">
      <f>CN145-CK145</f>
    </oc>
    <nc r="CO145"/>
  </rcc>
  <rcc rId="846" sId="4">
    <oc r="CP145">
      <f>CO145/CK145</f>
    </oc>
    <nc r="CP145"/>
  </rcc>
  <rcc rId="847" sId="4">
    <oc r="CO146">
      <f>CN146-CK146</f>
    </oc>
    <nc r="CO146"/>
  </rcc>
  <rcc rId="848" sId="4">
    <oc r="CP146">
      <f>CO146/CK146</f>
    </oc>
    <nc r="CP146"/>
  </rcc>
  <rcc rId="849" sId="4">
    <oc r="CO147">
      <f>CN147-CK147</f>
    </oc>
    <nc r="CO147"/>
  </rcc>
  <rcc rId="850" sId="4">
    <oc r="CP147">
      <f>CO147/CK147</f>
    </oc>
    <nc r="CP147"/>
  </rcc>
  <rcc rId="851" sId="4">
    <oc r="CO148">
      <f>CN148-CK148</f>
    </oc>
    <nc r="CO148"/>
  </rcc>
  <rcc rId="852" sId="4">
    <oc r="CP148">
      <f>CO148/CK148</f>
    </oc>
    <nc r="CP148"/>
  </rcc>
  <rcc rId="853" sId="4">
    <oc r="CO149">
      <f>CN149-CK149</f>
    </oc>
    <nc r="CO149"/>
  </rcc>
  <rcc rId="854" sId="4">
    <oc r="CP149">
      <f>CO149/CK149</f>
    </oc>
    <nc r="CP149"/>
  </rcc>
  <rcc rId="855" sId="4">
    <oc r="CO150">
      <f>CN150-CK150</f>
    </oc>
    <nc r="CO150"/>
  </rcc>
  <rcc rId="856" sId="4">
    <oc r="CP150">
      <f>CO150/CK150</f>
    </oc>
    <nc r="CP150"/>
  </rcc>
  <rcc rId="857" sId="4">
    <oc r="CO151">
      <f>CN151-CK151</f>
    </oc>
    <nc r="CO151"/>
  </rcc>
  <rcc rId="858" sId="4">
    <oc r="CP151">
      <f>CO151/CK151</f>
    </oc>
    <nc r="CP151"/>
  </rcc>
  <rcc rId="859" sId="4">
    <oc r="CO152">
      <f>CN152-CK152</f>
    </oc>
    <nc r="CO152"/>
  </rcc>
  <rcc rId="860" sId="4">
    <oc r="CP152">
      <f>CO152/CK152</f>
    </oc>
    <nc r="CP152"/>
  </rcc>
  <rcc rId="861" sId="4">
    <oc r="CO153">
      <f>CN153-CK153</f>
    </oc>
    <nc r="CO153"/>
  </rcc>
  <rcc rId="862" sId="4">
    <oc r="CP153">
      <f>CO153/CK153</f>
    </oc>
    <nc r="CP153"/>
  </rcc>
  <rcc rId="863" sId="4" odxf="1" dxf="1">
    <oc r="CO154">
      <f>CN154-CK154</f>
    </oc>
    <nc r="CO154"/>
    <ndxf>
      <numFmt numFmtId="0" formatCode="General"/>
      <fill>
        <patternFill patternType="solid">
          <bgColor theme="0" tint="-0.249977111117893"/>
        </patternFill>
      </fill>
    </ndxf>
  </rcc>
  <rcc rId="864" sId="4" odxf="1" dxf="1">
    <oc r="CP154">
      <f>CO154/CK154</f>
    </oc>
    <nc r="CP154"/>
    <ndxf>
      <numFmt numFmtId="0" formatCode="General"/>
      <fill>
        <patternFill patternType="solid">
          <bgColor theme="0" tint="-0.249977111117893"/>
        </patternFill>
      </fill>
    </ndxf>
  </rcc>
  <rcc rId="865" sId="4">
    <nc r="CK155">
      <f>CI155+CJ155</f>
    </nc>
  </rcc>
  <rcc rId="866" sId="4">
    <nc r="CK156">
      <f>CI156+CJ156</f>
    </nc>
  </rcc>
  <rcc rId="867" sId="4">
    <nc r="CK158">
      <f>CI158+CJ158</f>
    </nc>
  </rcc>
  <rcc rId="868" sId="4">
    <oc r="CK159">
      <f>CI159+CJ159</f>
    </oc>
    <nc r="CK159">
      <f>CI159+CJ159</f>
    </nc>
  </rcc>
  <rcc rId="869" sId="4" odxf="1">
    <nc r="CK160">
      <f>CI160+CJ160</f>
    </nc>
    <odxf/>
  </rcc>
  <rcc rId="870" sId="4" odxf="1">
    <nc r="CK161">
      <f>CI161+CJ161</f>
    </nc>
    <odxf/>
  </rcc>
  <rcc rId="871" sId="4">
    <nc r="CK162">
      <f>CI162+CJ162</f>
    </nc>
  </rcc>
  <rcc rId="872" sId="4">
    <nc r="CK163">
      <f>CI163+CJ163</f>
    </nc>
  </rcc>
  <rcc rId="873" sId="4" odxf="1">
    <nc r="CK164">
      <f>CI164+CJ164</f>
    </nc>
    <odxf/>
  </rcc>
  <rcc rId="874" sId="4" odxf="1">
    <nc r="CK165">
      <f>CI165+CJ165</f>
    </nc>
    <odxf/>
  </rcc>
  <rcc rId="875" sId="4">
    <nc r="CK166">
      <f>CI166+CJ166</f>
    </nc>
  </rcc>
  <rcc rId="876" sId="4">
    <nc r="CK167">
      <f>CI167+CJ167</f>
    </nc>
  </rcc>
  <rcc rId="877" sId="4" odxf="1">
    <nc r="CK168">
      <f>CI168+CJ168</f>
    </nc>
    <odxf/>
  </rcc>
  <rcc rId="878" sId="4" odxf="1">
    <nc r="CK169">
      <f>CI169+CJ169</f>
    </nc>
    <odxf/>
  </rcc>
  <rcc rId="879" sId="4" odxf="1">
    <nc r="CK170">
      <f>CI170+CJ170</f>
    </nc>
    <odxf/>
  </rcc>
  <rcc rId="880" sId="4">
    <nc r="CK171">
      <f>CI171+CJ171</f>
    </nc>
  </rcc>
  <rcc rId="881" sId="4">
    <oc r="CK172">
      <f>CI172+CJ172</f>
    </oc>
    <nc r="CK172">
      <f>CI172+CJ172</f>
    </nc>
  </rcc>
  <rcc rId="882" sId="4">
    <oc r="CK173">
      <f>CI173+CJ173</f>
    </oc>
    <nc r="CK173">
      <f>CI173+CJ173</f>
    </nc>
  </rcc>
  <rcc rId="883" sId="4">
    <nc r="CK174">
      <f>CI174+CJ174</f>
    </nc>
  </rcc>
  <rcc rId="884" sId="4" odxf="1" dxf="1">
    <nc r="CK175">
      <f>CI175+CJ175</f>
    </nc>
    <odxf/>
    <ndxf/>
  </rcc>
  <rcc rId="885" sId="4">
    <nc r="CK176">
      <f>SUM(CK155:CK175)</f>
    </nc>
  </rcc>
  <rcc rId="886" sId="4" numFmtId="4">
    <oc r="CN160">
      <v>41778</v>
    </oc>
    <nc r="CN160">
      <f>41778+17599</f>
    </nc>
  </rcc>
  <rcc rId="887" sId="4" odxf="1" dxf="1">
    <nc r="CN176">
      <f>SUM(CN155:CN175)</f>
    </nc>
    <odxf>
      <numFmt numFmtId="0" formatCode="General"/>
    </odxf>
    <ndxf>
      <numFmt numFmtId="165" formatCode="&quot;$&quot;#,##0"/>
    </ndxf>
  </rcc>
  <rcmt sheetId="4" cell="CN160" guid="{AD876C3C-7B4E-460B-A865-117A875123AE}" author="Ed Lazere" newLength="33"/>
</revisions>
</file>

<file path=xl/revisions/revisionLog4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4" sqref="CN177" start="0" length="0">
    <dxf>
      <numFmt numFmtId="165" formatCode="&quot;$&quot;#,##0"/>
    </dxf>
  </rfmt>
  <rfmt sheetId="4" sqref="CP177">
    <dxf>
      <numFmt numFmtId="164" formatCode="0.0%"/>
    </dxf>
  </rfmt>
  <rcc rId="888" sId="4">
    <nc r="CK177">
      <f>CK176+CK65+CK66+CK79+33578+23465</f>
    </nc>
  </rcc>
  <rcc rId="889" sId="4">
    <nc r="CN177">
      <f>CN176+CN65+CN66+CN79+33484+24169</f>
    </nc>
  </rcc>
  <rcc rId="890" sId="4" odxf="1">
    <nc r="CK191">
      <f>CI191+CJ191</f>
    </nc>
    <odxf/>
  </rcc>
  <rcc rId="891" sId="4" odxf="1">
    <nc r="CK192">
      <f>CI192+CJ192</f>
    </nc>
    <odxf/>
  </rcc>
  <rcc rId="892" sId="4" odxf="1">
    <nc r="CK193">
      <f>CI193+CJ193</f>
    </nc>
    <odxf/>
  </rcc>
  <rcc rId="893" sId="4" odxf="1">
    <nc r="CK194">
      <f>CI194+CJ194</f>
    </nc>
    <odxf/>
  </rcc>
  <rcc rId="894" sId="4" odxf="1">
    <nc r="CK195">
      <f>CI195+CJ195</f>
    </nc>
    <odxf/>
  </rcc>
  <rcc rId="895" sId="4">
    <nc r="CK196">
      <f>CI196+CJ196</f>
    </nc>
  </rcc>
  <rcc rId="896" sId="4">
    <nc r="CK197">
      <f>CI197+CJ197</f>
    </nc>
  </rcc>
  <rcc rId="897" sId="4">
    <nc r="CK198">
      <f>CI198+CJ198</f>
    </nc>
  </rcc>
  <rcc rId="898" sId="4" odxf="1" dxf="1">
    <nc r="CK199">
      <f>CI199+CJ199</f>
    </nc>
    <odxf/>
    <ndxf/>
  </rcc>
  <rcc rId="899" sId="4">
    <nc r="CK200">
      <f>SUM(CK191:CK199)</f>
    </nc>
  </rcc>
  <rcc rId="900" sId="4" odxf="1" dxf="1">
    <nc r="CN200">
      <f>SUM(CN191:CN199)</f>
    </nc>
    <odxf>
      <numFmt numFmtId="0" formatCode="General"/>
    </odxf>
    <ndxf>
      <numFmt numFmtId="165" formatCode="&quot;$&quot;#,##0"/>
    </ndxf>
  </rcc>
  <rcc rId="901" sId="4" odxf="1" dxf="1">
    <oc r="CP200">
      <f>CO200/CK200</f>
    </oc>
    <nc r="CP200">
      <f>CO200/CK200</f>
    </nc>
    <odxf>
      <font>
        <b/>
        <sz val="11"/>
        <name val="Calibri"/>
        <scheme val="minor"/>
      </font>
      <numFmt numFmtId="165" formatCode="&quot;$&quot;#,##0"/>
    </odxf>
    <ndxf>
      <font>
        <b val="0"/>
        <sz val="11"/>
        <name val="Calibri"/>
        <scheme val="minor"/>
      </font>
      <numFmt numFmtId="164" formatCode="0.0%"/>
    </ndxf>
  </rcc>
</revisions>
</file>

<file path=xl/revisions/revisionLog4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902" sId="4" numFmtId="11">
    <nc r="CJ136">
      <v>-1000</v>
    </nc>
  </rcc>
  <rcc rId="903" sId="4" numFmtId="11">
    <nc r="CJ131">
      <v>-5951</v>
    </nc>
  </rcc>
  <rcc rId="904" sId="4" numFmtId="11">
    <nc r="CJ128">
      <v>-4000</v>
    </nc>
  </rcc>
  <rcc rId="905" sId="4" numFmtId="11">
    <nc r="CJ132">
      <v>-2500</v>
    </nc>
  </rcc>
  <rcc rId="906" sId="4" numFmtId="11">
    <nc r="CJ139">
      <v>-2850</v>
    </nc>
  </rcc>
  <rcv guid="{50528D02-548E-47E0-94D7-D1E79CD3569C}" action="delete"/>
  <rcv guid="{50528D02-548E-47E0-94D7-D1E79CD3569C}" action="add"/>
</revisions>
</file>

<file path=xl/revisions/revisionLog4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4" sqref="CQ130" start="0" length="0">
    <dxf>
      <numFmt numFmtId="165" formatCode="&quot;$&quot;#,##0"/>
    </dxf>
  </rfmt>
</revisions>
</file>

<file path=xl/revisions/revisionLog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7" sId="6" odxf="1" dxf="1">
    <nc r="I7" t="inlineStr">
      <is>
        <t>ajfjfkajdlklkjkjdkdjllkjldfkjjlkjfljlkjaldjlakdjakjdajdkfjadjfkajdlfjaslkdjfl</t>
      </is>
    </nc>
    <odxf>
      <font>
        <sz val="10"/>
        <color auto="1"/>
        <name val="Arial"/>
        <scheme val="none"/>
      </font>
    </odxf>
    <ndxf>
      <font>
        <sz val="10"/>
        <color auto="1"/>
        <name val="Arial"/>
        <scheme val="none"/>
      </font>
    </ndxf>
  </rcc>
  <rcv guid="{5102CD51-6323-4C0C-991F-AF8276ECBB13}" action="delete"/>
  <rdn rId="0" localSheetId="4" customView="1" name="Z_5102CD51_6323_4C0C_991F_AF8276ECBB13_.wvu.Rows" hidden="1" oldHidden="1">
    <formula>'FY 2016 by Agency'!$237:$251</formula>
    <oldFormula>'FY 2016 by Agency'!$237:$251</oldFormula>
  </rdn>
  <rdn rId="0" localSheetId="4" customView="1" name="Z_5102CD51_6323_4C0C_991F_AF8276ECBB13_.wvu.Cols" hidden="1" oldHidden="1">
    <formula>'FY 2016 by Agency'!$D:$E,'FY 2016 by Agency'!$G:$H,'FY 2016 by Agency'!$J:$K,'FY 2016 by Agency'!$M:$N,'FY 2016 by Agency'!$P:$Q,'FY 2016 by Agency'!$S:$T,'FY 2016 by Agency'!$V:$W,'FY 2016 by Agency'!$Y:$Z,'FY 2016 by Agency'!$AB:$AE,'FY 2016 by Agency'!$AG:$BA,'FY 2016 by Agency'!$BC:$BD,'FY 2016 by Agency'!$BF:$BW,'FY 2016 by Agency'!$CC:$CC</formula>
    <oldFormula>'FY 2016 by Agency'!$D:$E,'FY 2016 by Agency'!$G:$H,'FY 2016 by Agency'!$J:$K,'FY 2016 by Agency'!$M:$N,'FY 2016 by Agency'!$P:$Q,'FY 2016 by Agency'!$S:$T,'FY 2016 by Agency'!$V:$W,'FY 2016 by Agency'!$Y:$Z,'FY 2016 by Agency'!$AB:$AE,'FY 2016 by Agency'!$AG:$BA,'FY 2016 by Agency'!$BC:$BD,'FY 2016 by Agency'!$BF:$BW,'FY 2016 by Agency'!$CC:$CC</oldFormula>
  </rdn>
  <rdn rId="0" localSheetId="5" customView="1" name="Z_5102CD51_6323_4C0C_991F_AF8276ECBB13_.wvu.Rows" hidden="1" oldHidden="1">
    <formula>'FY 2016 by Agency-Adj'!$232:$247</formula>
    <oldFormula>'FY 2016 by Agency-Adj'!$232:$247</oldFormula>
  </rdn>
  <rdn rId="0" localSheetId="5" customView="1" name="Z_5102CD51_6323_4C0C_991F_AF8276ECBB13_.wvu.Cols" hidden="1" oldHidden="1">
    <formula>'FY 2016 by Agency-Adj'!$AD:$AE,'FY 2016 by Agency-Adj'!$AI:$BK,'FY 2016 by Agency-Adj'!$BO:$BQ,'FY 2016 by Agency-Adj'!$BU:$BX</formula>
    <oldFormula>'FY 2016 by Agency-Adj'!$AD:$AE,'FY 2016 by Agency-Adj'!$AI:$BK,'FY 2016 by Agency-Adj'!$BO:$BQ,'FY 2016 by Agency-Adj'!$BU:$BX</oldFormula>
  </rdn>
  <rcv guid="{5102CD51-6323-4C0C-991F-AF8276ECBB13}" action="add"/>
</revisions>
</file>

<file path=xl/revisions/revisionLog5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907" sId="4" numFmtId="11">
    <nc r="CJ71">
      <v>-1500</v>
    </nc>
  </rcc>
  <rcc rId="908" sId="4" numFmtId="11">
    <nc r="CJ160">
      <v>1750</v>
    </nc>
  </rcc>
  <rcc rId="909" sId="4" numFmtId="11">
    <nc r="CJ155">
      <v>-600</v>
    </nc>
  </rcc>
  <rcc rId="910" sId="4" numFmtId="11">
    <nc r="CJ161">
      <v>-200</v>
    </nc>
  </rcc>
  <rcc rId="911" sId="4" numFmtId="11">
    <nc r="CJ229">
      <v>9907</v>
    </nc>
  </rcc>
  <rcc rId="912" sId="4" numFmtId="11">
    <nc r="CJ210">
      <v>-20300</v>
    </nc>
  </rcc>
  <rcc rId="913" sId="4" numFmtId="11">
    <nc r="CJ212">
      <v>-22700</v>
    </nc>
  </rcc>
  <rcc rId="914" sId="4" numFmtId="11">
    <nc r="CJ216">
      <v>-6300</v>
    </nc>
  </rcc>
  <rcc rId="915" sId="4" numFmtId="11">
    <nc r="CJ233">
      <v>3455</v>
    </nc>
  </rcc>
</revisions>
</file>

<file path=xl/revisions/revisionLog5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m rId="916" sheetId="8" source="A3" destination="A2" sourceSheetId="8"/>
  <rrc rId="917" sId="8" eol="1" ref="A2:XFD2" action="insertRow"/>
  <rcc rId="918" sId="8">
    <nc r="A2" t="inlineStr">
      <is>
        <t>Per Wes, Not-for Profit Hospital Corporation Subsidy used to be an Enterprise Fund so not listed in spreadsheet. FY 2015 approved &amp; FY 2016 proposed budgets $0--Kate 4/3/2015</t>
      </is>
    </nc>
  </rcc>
  <rcc rId="919" sId="4">
    <oc r="CO157">
      <f>CN157-CK157</f>
    </oc>
    <nc r="CO157">
      <f>CN157-CK157</f>
    </nc>
  </rcc>
  <rcc rId="920" sId="4">
    <oc r="CO159">
      <f>CN159-CK159</f>
    </oc>
    <nc r="CO159">
      <f>CN159-CK159</f>
    </nc>
  </rcc>
  <rcc rId="921" sId="4">
    <oc r="CO160">
      <f>CN160-CK160</f>
    </oc>
    <nc r="CO160">
      <f>CN160-CK160</f>
    </nc>
  </rcc>
</revisions>
</file>

<file path=xl/revisions/revisionLog5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922" sId="8">
    <nc r="C3">
      <f>B3*0.7</f>
    </nc>
  </rcc>
  <rcc rId="923" sId="5">
    <oc r="CE5" t="inlineStr">
      <is>
        <t>Approved</t>
      </is>
    </oc>
    <nc r="CE5" t="inlineStr">
      <is>
        <t>Approved + Supplemental</t>
      </is>
    </nc>
  </rcc>
</revisions>
</file>

<file path=xl/revisions/revisionLog5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924" sId="4">
    <oc r="CK176">
      <f>SUM(CK155:CK175)</f>
    </oc>
    <nc r="CK176">
      <f>SUM(CK155:CK175)</f>
    </nc>
  </rcc>
  <rcc rId="925" sId="4">
    <oc r="CP155">
      <f>CO155/CK155</f>
    </oc>
    <nc r="CP155">
      <f>CO155/CK155</f>
    </nc>
  </rcc>
  <rfmt sheetId="4" sqref="CP155">
    <dxf>
      <numFmt numFmtId="13" formatCode="0%"/>
    </dxf>
  </rfmt>
  <rfmt sheetId="4" sqref="CP155">
    <dxf>
      <numFmt numFmtId="164" formatCode="0.0%"/>
    </dxf>
  </rfmt>
  <rfmt sheetId="4" sqref="CP155">
    <dxf>
      <numFmt numFmtId="14" formatCode="0.00%"/>
    </dxf>
  </rfmt>
  <rcc rId="926" sId="4">
    <oc r="CP156">
      <f>CO156/CK156</f>
    </oc>
    <nc r="CP156">
      <f>CO156/CK156</f>
    </nc>
  </rcc>
  <rfmt sheetId="4" sqref="CP155:CP176">
    <dxf>
      <numFmt numFmtId="164" formatCode="0.0%"/>
    </dxf>
  </rfmt>
  <rfmt sheetId="4" sqref="CN160">
    <dxf>
      <fill>
        <patternFill patternType="none">
          <bgColor auto="1"/>
        </patternFill>
      </fill>
    </dxf>
  </rfmt>
  <rfmt sheetId="4" sqref="CF160">
    <dxf>
      <fill>
        <patternFill patternType="none">
          <bgColor auto="1"/>
        </patternFill>
      </fill>
    </dxf>
  </rfmt>
  <rcc rId="927" sId="4">
    <oc r="CO178">
      <f>CN178-CK178</f>
    </oc>
    <nc r="CO178"/>
  </rcc>
  <rcc rId="928" sId="4">
    <oc r="CP178">
      <f>CO178/CK178</f>
    </oc>
    <nc r="CP178"/>
  </rcc>
  <rcc rId="929" sId="4">
    <oc r="CO179">
      <f>CN179-CK179</f>
    </oc>
    <nc r="CO179"/>
  </rcc>
  <rcc rId="930" sId="4">
    <oc r="CP179">
      <f>CO179/CK179</f>
    </oc>
    <nc r="CP179"/>
  </rcc>
  <rcc rId="931" sId="4">
    <oc r="CO180">
      <f>CN180-CK180</f>
    </oc>
    <nc r="CO180"/>
  </rcc>
  <rcc rId="932" sId="4">
    <oc r="CP180">
      <f>CO180/CK180</f>
    </oc>
    <nc r="CP180"/>
  </rcc>
  <rcc rId="933" sId="4">
    <oc r="CO181">
      <f>CN181-CK181</f>
    </oc>
    <nc r="CO181"/>
  </rcc>
  <rcc rId="934" sId="4">
    <oc r="CP181">
      <f>CO181/CK181</f>
    </oc>
    <nc r="CP181"/>
  </rcc>
  <rcc rId="935" sId="4">
    <oc r="CO182">
      <f>CN182-CK182</f>
    </oc>
    <nc r="CO182"/>
  </rcc>
  <rcc rId="936" sId="4">
    <oc r="CP182">
      <f>CO182/CK182</f>
    </oc>
    <nc r="CP182"/>
  </rcc>
  <rcc rId="937" sId="4">
    <oc r="CO183">
      <f>CN183-CK183</f>
    </oc>
    <nc r="CO183"/>
  </rcc>
  <rcc rId="938" sId="4">
    <oc r="CP183">
      <f>CO183/CK183</f>
    </oc>
    <nc r="CP183"/>
  </rcc>
  <rcc rId="939" sId="4">
    <oc r="CO184">
      <f>CN184-CK184</f>
    </oc>
    <nc r="CO184"/>
  </rcc>
  <rcc rId="940" sId="4">
    <oc r="CP184">
      <f>CO184/CK184</f>
    </oc>
    <nc r="CP184"/>
  </rcc>
  <rcc rId="941" sId="4">
    <oc r="CO185">
      <f>CN185-CK185</f>
    </oc>
    <nc r="CO185"/>
  </rcc>
  <rcc rId="942" sId="4">
    <oc r="CP185">
      <f>CO185/CK185</f>
    </oc>
    <nc r="CP185"/>
  </rcc>
  <rcc rId="943" sId="4">
    <oc r="CO186">
      <f>CN186-CK186</f>
    </oc>
    <nc r="CO186"/>
  </rcc>
  <rcc rId="944" sId="4">
    <oc r="CP186">
      <f>CO186/CK186</f>
    </oc>
    <nc r="CP186"/>
  </rcc>
  <rcc rId="945" sId="4">
    <oc r="CO187">
      <f>CN187-CK187</f>
    </oc>
    <nc r="CO187"/>
  </rcc>
  <rcc rId="946" sId="4">
    <oc r="CP187">
      <f>CO187/CK187</f>
    </oc>
    <nc r="CP187"/>
  </rcc>
  <rcc rId="947" sId="4">
    <oc r="CO188">
      <f>CN188-CK188</f>
    </oc>
    <nc r="CO188"/>
  </rcc>
  <rcc rId="948" sId="4">
    <oc r="CP188">
      <f>CO188/CK188</f>
    </oc>
    <nc r="CP188"/>
  </rcc>
  <rcc rId="949" sId="4">
    <oc r="CO189">
      <f>CN189-CK189</f>
    </oc>
    <nc r="CO189"/>
  </rcc>
  <rcc rId="950" sId="4">
    <oc r="CP189">
      <f>CO189/CK189</f>
    </oc>
    <nc r="CP189"/>
  </rcc>
  <rcc rId="951" sId="4">
    <oc r="CO190">
      <f>CN190-CK190</f>
    </oc>
    <nc r="CO190"/>
  </rcc>
  <rcc rId="952" sId="4">
    <oc r="CP190">
      <f>CO190/CK190</f>
    </oc>
    <nc r="CP190"/>
  </rcc>
  <rcc rId="953" sId="4">
    <oc r="CO202">
      <f>CN202-CK202</f>
    </oc>
    <nc r="CO202"/>
  </rcc>
  <rcc rId="954" sId="4">
    <oc r="CP202">
      <f>CO202/CK202</f>
    </oc>
    <nc r="CP202"/>
  </rcc>
  <rcc rId="955" sId="4">
    <oc r="CO203">
      <f>CN203-CK203</f>
    </oc>
    <nc r="CO203"/>
  </rcc>
  <rcc rId="956" sId="4">
    <oc r="CP203">
      <f>CO203/CK203</f>
    </oc>
    <nc r="CP203"/>
  </rcc>
  <rcc rId="957" sId="4">
    <oc r="CO204">
      <f>CN204-CK204</f>
    </oc>
    <nc r="CO204"/>
  </rcc>
  <rcc rId="958" sId="4">
    <oc r="CP204">
      <f>CO204/CK204</f>
    </oc>
    <nc r="CP204"/>
  </rcc>
  <rcc rId="959" sId="4">
    <oc r="CO205">
      <f>CN205-CK205</f>
    </oc>
    <nc r="CO205"/>
  </rcc>
  <rcc rId="960" sId="4">
    <oc r="CP205">
      <f>CO205/CK205</f>
    </oc>
    <nc r="CP205"/>
  </rcc>
  <rcc rId="961" sId="4">
    <oc r="CO206">
      <f>CN206-CK206</f>
    </oc>
    <nc r="CO206"/>
  </rcc>
  <rcc rId="962" sId="4">
    <oc r="CP206">
      <f>CO206/CK206</f>
    </oc>
    <nc r="CP206"/>
  </rcc>
  <rcc rId="963" sId="4">
    <oc r="CO207">
      <f>CN207-CK207</f>
    </oc>
    <nc r="CO207"/>
  </rcc>
  <rcc rId="964" sId="4">
    <oc r="CP207">
      <f>CO207/CK207</f>
    </oc>
    <nc r="CP207"/>
  </rcc>
  <rcc rId="965" sId="4">
    <oc r="CO208">
      <f>CN208-CK208</f>
    </oc>
    <nc r="CO208"/>
  </rcc>
  <rcc rId="966" sId="4">
    <oc r="CP208">
      <f>CO208/CK208</f>
    </oc>
    <nc r="CP208"/>
  </rcc>
  <rcc rId="967" sId="4">
    <oc r="CO209">
      <f>CN209-CK209</f>
    </oc>
    <nc r="CO209"/>
  </rcc>
  <rcc rId="968" sId="4">
    <oc r="CP209">
      <f>CO209/CK209</f>
    </oc>
    <nc r="CP209"/>
  </rcc>
  <rcc rId="969" sId="4">
    <oc r="CP191">
      <f>CO191/CK191</f>
    </oc>
    <nc r="CP191">
      <f>CO191/CK191</f>
    </nc>
  </rcc>
  <rcc rId="970" sId="4">
    <oc r="CP192">
      <f>CO192/CK192</f>
    </oc>
    <nc r="CP192">
      <f>CO192/CK192</f>
    </nc>
  </rcc>
  <rcc rId="971" sId="4">
    <oc r="CP193">
      <f>CO193/CK193</f>
    </oc>
    <nc r="CP193">
      <f>CO193/CK193</f>
    </nc>
  </rcc>
  <rcc rId="972" sId="4">
    <oc r="CP194">
      <f>CO194/CK194</f>
    </oc>
    <nc r="CP194">
      <f>CO194/CK194</f>
    </nc>
  </rcc>
  <rcc rId="973" sId="4">
    <oc r="CP195">
      <f>CO195/CK195</f>
    </oc>
    <nc r="CP195">
      <f>CO195/CK195</f>
    </nc>
  </rcc>
  <rcc rId="974" sId="4">
    <oc r="CP196">
      <f>CO196/CK196</f>
    </oc>
    <nc r="CP196">
      <f>CO196/CK196</f>
    </nc>
  </rcc>
  <rcc rId="975" sId="4">
    <oc r="CP197">
      <f>CO197/CK197</f>
    </oc>
    <nc r="CP197">
      <f>CO197/CK197</f>
    </nc>
  </rcc>
  <rcc rId="976" sId="4">
    <oc r="CP198">
      <f>CO198/CK198</f>
    </oc>
    <nc r="CP198">
      <f>CO198/CK198</f>
    </nc>
  </rcc>
  <rcc rId="977" sId="4">
    <oc r="CP199">
      <f>CO199/CK199</f>
    </oc>
    <nc r="CP199">
      <f>CO199/CK199</f>
    </nc>
  </rcc>
  <rcc rId="978" sId="4">
    <oc r="CP200">
      <f>CO200/CK200</f>
    </oc>
    <nc r="CP200">
      <f>CO200/CK200</f>
    </nc>
  </rcc>
  <rfmt sheetId="4" sqref="CP191:CP200">
    <dxf>
      <numFmt numFmtId="14" formatCode="0.00%"/>
    </dxf>
  </rfmt>
  <rfmt sheetId="4" sqref="CP191:CP200">
    <dxf>
      <numFmt numFmtId="164" formatCode="0.0%"/>
    </dxf>
  </rfmt>
  <rfmt sheetId="5" sqref="CJ154:CJ175">
    <dxf>
      <numFmt numFmtId="14" formatCode="0.00%"/>
    </dxf>
  </rfmt>
  <rfmt sheetId="5" sqref="CJ154:CJ175">
    <dxf>
      <numFmt numFmtId="169" formatCode="0.000%"/>
    </dxf>
  </rfmt>
  <rfmt sheetId="5" sqref="CJ154:CJ175">
    <dxf>
      <numFmt numFmtId="175" formatCode="0.0000%"/>
    </dxf>
  </rfmt>
  <rfmt sheetId="5" sqref="CJ154:CJ175">
    <dxf>
      <numFmt numFmtId="169" formatCode="0.000%"/>
    </dxf>
  </rfmt>
  <rfmt sheetId="5" sqref="CJ154:CJ175">
    <dxf>
      <numFmt numFmtId="14" formatCode="0.00%"/>
    </dxf>
  </rfmt>
  <rfmt sheetId="5" sqref="CJ154:CJ175">
    <dxf>
      <numFmt numFmtId="164" formatCode="0.0%"/>
    </dxf>
  </rfmt>
</revisions>
</file>

<file path=xl/revisions/revisionLog5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4" sqref="CP83">
    <dxf>
      <numFmt numFmtId="164" formatCode="0.0%"/>
    </dxf>
  </rfmt>
  <rcc rId="979" sId="4">
    <oc r="CO84">
      <f>CN84-CK84</f>
    </oc>
    <nc r="CO84"/>
  </rcc>
  <rcc rId="980" sId="4">
    <oc r="CP84">
      <f>CO84/CK84</f>
    </oc>
    <nc r="CP84"/>
  </rcc>
  <rcc rId="981" sId="4">
    <oc r="CO85">
      <f>CN85-CK85</f>
    </oc>
    <nc r="CO85"/>
  </rcc>
  <rcc rId="982" sId="4">
    <oc r="CP85">
      <f>CO85/CK85</f>
    </oc>
    <nc r="CP85"/>
  </rcc>
  <rcc rId="983" sId="4">
    <oc r="CO86">
      <f>CN86-CK86</f>
    </oc>
    <nc r="CO86"/>
  </rcc>
  <rcc rId="984" sId="4">
    <oc r="CP86">
      <f>CO86/CK86</f>
    </oc>
    <nc r="CP86"/>
  </rcc>
  <rcc rId="985" sId="4">
    <oc r="CO87">
      <f>CN87-CK87</f>
    </oc>
    <nc r="CO87"/>
  </rcc>
  <rcc rId="986" sId="4">
    <oc r="CP87">
      <f>CO87/CK87</f>
    </oc>
    <nc r="CP87"/>
  </rcc>
  <rcc rId="987" sId="4">
    <oc r="CO88">
      <f>CN88-CK88</f>
    </oc>
    <nc r="CO88"/>
  </rcc>
  <rcc rId="988" sId="4">
    <oc r="CP88">
      <f>CO88/CK88</f>
    </oc>
    <nc r="CP88"/>
  </rcc>
  <rcc rId="989" sId="4">
    <oc r="CO89">
      <f>CN89-CK89</f>
    </oc>
    <nc r="CO89"/>
  </rcc>
  <rcc rId="990" sId="4">
    <oc r="CP89">
      <f>CO89/CK89</f>
    </oc>
    <nc r="CP89"/>
  </rcc>
  <rcc rId="991" sId="4">
    <oc r="CO90">
      <f>CN90-CK90</f>
    </oc>
    <nc r="CO90"/>
  </rcc>
  <rcc rId="992" sId="4">
    <oc r="CP90">
      <f>CO90/CK90</f>
    </oc>
    <nc r="CP90"/>
  </rcc>
  <rcc rId="993" sId="4">
    <oc r="CO91">
      <f>CN91-CK91</f>
    </oc>
    <nc r="CO91"/>
  </rcc>
  <rcc rId="994" sId="4">
    <oc r="CP91">
      <f>CO91/CK91</f>
    </oc>
    <nc r="CP91"/>
  </rcc>
  <rcc rId="995" sId="4" odxf="1" dxf="1">
    <oc r="CO92">
      <f>CN92-CK92</f>
    </oc>
    <nc r="CO92"/>
    <ndxf>
      <numFmt numFmtId="0" formatCode="General"/>
      <fill>
        <patternFill patternType="solid">
          <bgColor theme="0" tint="-0.249977111117893"/>
        </patternFill>
      </fill>
    </ndxf>
  </rcc>
  <rcc rId="996" sId="4" odxf="1" dxf="1">
    <oc r="CP92">
      <f>CO92/CK92</f>
    </oc>
    <nc r="CP92"/>
    <ndxf>
      <numFmt numFmtId="0" formatCode="General"/>
      <fill>
        <patternFill patternType="solid">
          <bgColor theme="0" tint="-0.249977111117893"/>
        </patternFill>
      </fill>
    </ndxf>
  </rcc>
  <rcc rId="997" sId="4" odxf="1" dxf="1">
    <nc r="CQ129">
      <f>+CN129+CN132</f>
    </nc>
    <odxf>
      <numFmt numFmtId="0" formatCode="General"/>
    </odxf>
    <ndxf>
      <numFmt numFmtId="10" formatCode="&quot;$&quot;#,##0_);[Red]\(&quot;$&quot;#,##0\)"/>
    </ndxf>
  </rcc>
  <rcc rId="998" sId="4" odxf="1" dxf="1">
    <nc r="CQ130">
      <f>+CK129+CK132</f>
    </nc>
    <odxf>
      <numFmt numFmtId="0" formatCode="General"/>
    </odxf>
    <ndxf>
      <numFmt numFmtId="165" formatCode="&quot;$&quot;#,##0"/>
    </ndxf>
  </rcc>
  <rcc rId="999" sId="4" odxf="1" dxf="1">
    <nc r="CQ131">
      <f>+CQ129/CQ130-1</f>
    </nc>
    <odxf>
      <numFmt numFmtId="0" formatCode="General"/>
    </odxf>
    <ndxf>
      <numFmt numFmtId="165" formatCode="&quot;$&quot;#,##0"/>
    </ndxf>
  </rcc>
  <rfmt sheetId="4" sqref="CQ131">
    <dxf>
      <numFmt numFmtId="14" formatCode="0.00%"/>
    </dxf>
  </rfmt>
  <rcc rId="1000" sId="5">
    <oc r="CH58">
      <f>'FY 2016 by Agency'!CN57*Inflator!$E$18</f>
    </oc>
    <nc r="CH58">
      <f>'FY 2016 by Agency'!CN59*Inflator!$E$18</f>
    </nc>
  </rcc>
  <rcc rId="1001" sId="5">
    <oc r="CH59">
      <f>'FY 2016 by Agency'!CN58*Inflator!$E$18</f>
    </oc>
    <nc r="CH59">
      <f>'FY 2016 by Agency'!CN60*Inflator!$E$18</f>
    </nc>
  </rcc>
  <rcc rId="1002" sId="5">
    <oc r="CH60">
      <f>'FY 2016 by Agency'!CN59*Inflator!$E$18</f>
    </oc>
    <nc r="CH60">
      <f>'FY 2016 by Agency'!CN61*Inflator!$E$18</f>
    </nc>
  </rcc>
  <rcc rId="1003" sId="5">
    <oc r="CH61">
      <f>'FY 2016 by Agency'!CN60*Inflator!$E$18</f>
    </oc>
    <nc r="CH61">
      <f>'FY 2016 by Agency'!CN62*Inflator!$E$18</f>
    </nc>
  </rcc>
  <rcc rId="1004" sId="5">
    <oc r="CH62">
      <f>'FY 2016 by Agency'!CN61*Inflator!$E$18</f>
    </oc>
    <nc r="CH62">
      <f>'FY 2016 by Agency'!CN63*Inflator!$E$18</f>
    </nc>
  </rcc>
  <rcc rId="1005" sId="5">
    <oc r="CH63">
      <f>'FY 2016 by Agency'!CN62*Inflator!$E$18</f>
    </oc>
    <nc r="CH63">
      <f>'FY 2016 by Agency'!CN64*Inflator!$E$18</f>
    </nc>
  </rcc>
  <rcc rId="1006" sId="5">
    <oc r="CH64">
      <f>'FY 2016 by Agency'!CN63*Inflator!$E$18</f>
    </oc>
    <nc r="CH64">
      <f>'FY 2016 by Agency'!CN65*Inflator!$E$18</f>
    </nc>
  </rcc>
  <rcc rId="1007" sId="5">
    <oc r="CH65">
      <f>'FY 2016 by Agency'!CN64*Inflator!$E$18</f>
    </oc>
    <nc r="CH65">
      <f>'FY 2016 by Agency'!CN66*Inflator!$E$18</f>
    </nc>
  </rcc>
  <rcc rId="1008" sId="5">
    <oc r="CH66">
      <f>'FY 2016 by Agency'!CN65*Inflator!$E$18</f>
    </oc>
    <nc r="CH66">
      <f>'FY 2016 by Agency'!CN67*Inflator!$E$18</f>
    </nc>
  </rcc>
  <rcc rId="1009" sId="5">
    <oc r="CH67">
      <f>'FY 2016 by Agency'!CN66*Inflator!$E$18</f>
    </oc>
    <nc r="CH67">
      <f>'FY 2016 by Agency'!CN68*Inflator!$E$18</f>
    </nc>
  </rcc>
  <rcc rId="1010" sId="5">
    <oc r="CH68">
      <f>'FY 2016 by Agency'!CN67*Inflator!$E$18</f>
    </oc>
    <nc r="CH68">
      <f>'FY 2016 by Agency'!CN69*Inflator!$E$18</f>
    </nc>
  </rcc>
  <rcc rId="1011" sId="5">
    <oc r="CH69">
      <f>'FY 2016 by Agency'!CN68*Inflator!$E$18</f>
    </oc>
    <nc r="CH69">
      <f>'FY 2016 by Agency'!CN70*Inflator!$E$18</f>
    </nc>
  </rcc>
  <rcc rId="1012" sId="5">
    <oc r="CH70">
      <f>'FY 2016 by Agency'!CN69*Inflator!$E$18</f>
    </oc>
    <nc r="CH70">
      <f>'FY 2016 by Agency'!CN71*Inflator!$E$18</f>
    </nc>
  </rcc>
  <rcc rId="1013" sId="5">
    <oc r="CH71">
      <f>'FY 2016 by Agency'!CN70*Inflator!$E$18</f>
    </oc>
    <nc r="CH71">
      <f>'FY 2016 by Agency'!CN72*Inflator!$E$18</f>
    </nc>
  </rcc>
  <rcc rId="1014" sId="5">
    <oc r="CH72">
      <f>'FY 2016 by Agency'!CN71*Inflator!$E$18</f>
    </oc>
    <nc r="CH72">
      <f>'FY 2016 by Agency'!CN73*Inflator!$E$18</f>
    </nc>
  </rcc>
  <rcc rId="1015" sId="5">
    <oc r="CH73">
      <f>'FY 2016 by Agency'!CN72*Inflator!$E$18</f>
    </oc>
    <nc r="CH73">
      <f>'FY 2016 by Agency'!CN74*Inflator!$E$18</f>
    </nc>
  </rcc>
  <rcc rId="1016" sId="5">
    <oc r="CH74">
      <f>'FY 2016 by Agency'!CN73*Inflator!$E$18</f>
    </oc>
    <nc r="CH74">
      <f>'FY 2016 by Agency'!CN75*Inflator!$E$18</f>
    </nc>
  </rcc>
  <rcc rId="1017" sId="5">
    <oc r="CH75">
      <f>'FY 2016 by Agency'!CN74*Inflator!$E$18</f>
    </oc>
    <nc r="CH75">
      <f>'FY 2016 by Agency'!CN76*Inflator!$E$18</f>
    </nc>
  </rcc>
  <rcc rId="1018" sId="5">
    <oc r="CH76">
      <f>'FY 2016 by Agency'!CN75*Inflator!$E$18</f>
    </oc>
    <nc r="CH76">
      <f>'FY 2016 by Agency'!CN77*Inflator!$E$18</f>
    </nc>
  </rcc>
  <rcc rId="1019" sId="5">
    <oc r="CH77">
      <f>'FY 2016 by Agency'!CN76*Inflator!$E$18</f>
    </oc>
    <nc r="CH77">
      <f>'FY 2016 by Agency'!CN78*Inflator!$E$18</f>
    </nc>
  </rcc>
  <rcc rId="1020" sId="5">
    <oc r="CH78">
      <f>'FY 2016 by Agency'!CN77*Inflator!$E$18</f>
    </oc>
    <nc r="CH78">
      <f>'FY 2016 by Agency'!CN79*Inflator!$E$18</f>
    </nc>
  </rcc>
  <rcc rId="1021" sId="5">
    <oc r="CH79">
      <f>'FY 2016 by Agency'!CN78*Inflator!$E$18</f>
    </oc>
    <nc r="CH79">
      <f>'FY 2016 by Agency'!CN80*Inflator!$E$18</f>
    </nc>
  </rcc>
  <rcc rId="1022" sId="5">
    <oc r="CH80">
      <f>'FY 2016 by Agency'!CN79*Inflator!$E$18</f>
    </oc>
    <nc r="CH80">
      <f>'FY 2016 by Agency'!CN81*Inflator!$E$18</f>
    </nc>
  </rcc>
  <rfmt sheetId="5" sqref="CH58:CH80">
    <dxf>
      <numFmt numFmtId="165" formatCode="&quot;$&quot;#,##0"/>
    </dxf>
  </rfmt>
  <rcc rId="1023" sId="5" odxf="1" dxf="1">
    <oc r="CH81">
      <f>'FY 2016 by Agency'!CN80*Inflator!$E$18</f>
    </oc>
    <nc r="CH81">
      <f>'FY 2016 by Agency'!CN82*Inflator!$E$18</f>
    </nc>
    <odxf>
      <numFmt numFmtId="172" formatCode="&quot;$&quot;#,##0.00"/>
    </odxf>
    <ndxf>
      <numFmt numFmtId="165" formatCode="&quot;$&quot;#,##0"/>
    </ndxf>
  </rcc>
</revisions>
</file>

<file path=xl/revisions/revisionLog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2" sId="6">
    <nc r="G19" t="inlineStr">
      <is>
        <t>now you can save</t>
      </is>
    </nc>
  </rcc>
</revisions>
</file>

<file path=xl/revisions/revisionLog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3" sId="6">
    <oc r="I7" t="inlineStr">
      <is>
        <t>ajfjfkajdlklkjkjdkdjllkjldfkjjlkjfljlkjaldjlakdjakjdajdkfjadjfkajdlfjaslkdjfl</t>
      </is>
    </oc>
    <nc r="I7"/>
  </rcc>
  <rcc rId="14" sId="6">
    <oc r="I6" t="inlineStr">
      <is>
        <t>lakjsdlfkjasldkfjlaskdjfls</t>
      </is>
    </oc>
    <nc r="I6"/>
  </rcc>
  <rcc rId="15" sId="6">
    <oc r="G18" t="inlineStr">
      <is>
        <t>Hi Merrit!</t>
      </is>
    </oc>
    <nc r="G18"/>
  </rcc>
  <rcc rId="16" sId="6">
    <oc r="G19" t="inlineStr">
      <is>
        <t>now you can save</t>
      </is>
    </oc>
    <nc r="G19"/>
  </rcc>
</revisions>
</file>

<file path=xl/revisions/revisionLog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7" sId="4">
    <oc r="CI7">
      <f>22505+250</f>
    </oc>
    <nc r="CI7">
      <f>22505</f>
    </nc>
  </rcc>
  <rcc rId="18" sId="4">
    <oc r="CI10">
      <f>(9322+375+126)-250</f>
    </oc>
    <nc r="CI10">
      <f>(9322)</f>
    </nc>
  </rcc>
  <rcc rId="19" sId="4">
    <oc r="CI13">
      <f>3915-375</f>
    </oc>
    <nc r="CI13">
      <f>3915</f>
    </nc>
  </rcc>
  <rcc rId="20" sId="4">
    <oc r="CI152">
      <f>237747-1000</f>
    </oc>
    <nc r="CI152">
      <f>237747</f>
    </nc>
  </rcc>
  <rcc rId="21" sId="4">
    <oc r="CI155">
      <f>1172+1000</f>
    </oc>
    <nc r="CI155">
      <f>1172</f>
    </nc>
  </rcc>
  <rcc rId="22" sId="4">
    <oc r="CI168">
      <f>123480-51268</f>
    </oc>
    <nc r="CI168">
      <f>123480</f>
    </nc>
  </rcc>
  <rcc rId="23" sId="4">
    <oc r="CI169">
      <f>786063+51268</f>
    </oc>
    <nc r="CI169">
      <f>786063</f>
    </nc>
  </rcc>
  <rcc rId="24" sId="4">
    <oc r="CI189">
      <f>103156+4063+1200</f>
    </oc>
    <nc r="CI189">
      <f>103156</f>
    </nc>
  </rcc>
  <rcc rId="25" sId="4">
    <oc r="CI192">
      <f>8270-1000</f>
    </oc>
    <nc r="CI192">
      <f>8270</f>
    </nc>
  </rcc>
  <rcc rId="26" sId="4">
    <oc r="CI194">
      <f>330520-1200-4063+1000</f>
    </oc>
    <nc r="CI194">
      <f>330520</f>
    </nc>
  </rcc>
</revisions>
</file>

<file path=xl/revisions/revisionLog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7" sId="4" odxf="1" dxf="1" numFmtId="11">
    <nc r="CN126">
      <v>733431</v>
    </nc>
    <ndxf>
      <numFmt numFmtId="10" formatCode="&quot;$&quot;#,##0_);[Red]\(&quot;$&quot;#,##0\)"/>
    </ndxf>
  </rcc>
  <rcc rId="28" sId="4" numFmtId="11">
    <oc r="CF126">
      <f>CD126+CE126</f>
    </oc>
    <nc r="CF126">
      <v>663112</v>
    </nc>
  </rcc>
  <rcc rId="29" sId="4" numFmtId="11">
    <oc r="CF127">
      <f>CD127+CE127</f>
    </oc>
    <nc r="CF127">
      <v>31573</v>
    </nc>
  </rcc>
  <rcc rId="30" sId="4" odxf="1" dxf="1" numFmtId="11">
    <nc r="CN127">
      <v>44469</v>
    </nc>
    <ndxf>
      <numFmt numFmtId="10" formatCode="&quot;$&quot;#,##0_);[Red]\(&quot;$&quot;#,##0\)"/>
    </ndxf>
  </rcc>
  <rcc rId="31" sId="4" odxf="1" dxf="1" numFmtId="11">
    <nc r="CN128">
      <v>137253</v>
    </nc>
    <odxf>
      <numFmt numFmtId="0" formatCode="General"/>
    </odxf>
    <ndxf>
      <numFmt numFmtId="10" formatCode="&quot;$&quot;#,##0_);[Red]\(&quot;$&quot;#,##0\)"/>
    </ndxf>
  </rcc>
  <rcc rId="32" sId="4" numFmtId="11">
    <oc r="CF128">
      <f>CD128+CE128</f>
    </oc>
    <nc r="CF128">
      <v>127798</v>
    </nc>
  </rcc>
</revisions>
</file>

<file path=xl/revisions/userNames.xml><?xml version="1.0" encoding="utf-8"?>
<users xmlns="http://schemas.openxmlformats.org/spreadsheetml/2006/main" xmlns:r="http://schemas.openxmlformats.org/officeDocument/2006/relationships" xmlns:mc="http://schemas.openxmlformats.org/markup-compatibility/2006" xmlns:x14ac="http://schemas.microsoft.com/office/spreadsheetml/2009/9/ac" mc:Ignorable="x14ac" count="0"/>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8.bin"/><Relationship Id="rId13" Type="http://schemas.openxmlformats.org/officeDocument/2006/relationships/printerSettings" Target="../printerSettings/printerSettings13.bin"/><Relationship Id="rId18" Type="http://schemas.openxmlformats.org/officeDocument/2006/relationships/printerSettings" Target="../printerSettings/printerSettings18.bin"/><Relationship Id="rId3" Type="http://schemas.openxmlformats.org/officeDocument/2006/relationships/printerSettings" Target="../printerSettings/printerSettings3.bin"/><Relationship Id="rId21" Type="http://schemas.openxmlformats.org/officeDocument/2006/relationships/printerSettings" Target="../printerSettings/printerSettings21.bin"/><Relationship Id="rId7" Type="http://schemas.openxmlformats.org/officeDocument/2006/relationships/printerSettings" Target="../printerSettings/printerSettings7.bin"/><Relationship Id="rId12" Type="http://schemas.openxmlformats.org/officeDocument/2006/relationships/printerSettings" Target="../printerSettings/printerSettings12.bin"/><Relationship Id="rId17" Type="http://schemas.openxmlformats.org/officeDocument/2006/relationships/printerSettings" Target="../printerSettings/printerSettings17.bin"/><Relationship Id="rId2" Type="http://schemas.openxmlformats.org/officeDocument/2006/relationships/printerSettings" Target="../printerSettings/printerSettings2.bin"/><Relationship Id="rId16" Type="http://schemas.openxmlformats.org/officeDocument/2006/relationships/printerSettings" Target="../printerSettings/printerSettings16.bin"/><Relationship Id="rId20" Type="http://schemas.openxmlformats.org/officeDocument/2006/relationships/printerSettings" Target="../printerSettings/printerSettings20.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11" Type="http://schemas.openxmlformats.org/officeDocument/2006/relationships/printerSettings" Target="../printerSettings/printerSettings11.bin"/><Relationship Id="rId5" Type="http://schemas.openxmlformats.org/officeDocument/2006/relationships/printerSettings" Target="../printerSettings/printerSettings5.bin"/><Relationship Id="rId15" Type="http://schemas.openxmlformats.org/officeDocument/2006/relationships/printerSettings" Target="../printerSettings/printerSettings15.bin"/><Relationship Id="rId10" Type="http://schemas.openxmlformats.org/officeDocument/2006/relationships/printerSettings" Target="../printerSettings/printerSettings10.bin"/><Relationship Id="rId19" Type="http://schemas.openxmlformats.org/officeDocument/2006/relationships/printerSettings" Target="../printerSettings/printerSettings19.bin"/><Relationship Id="rId4" Type="http://schemas.openxmlformats.org/officeDocument/2006/relationships/printerSettings" Target="../printerSettings/printerSettings4.bin"/><Relationship Id="rId9" Type="http://schemas.openxmlformats.org/officeDocument/2006/relationships/printerSettings" Target="../printerSettings/printerSettings9.bin"/><Relationship Id="rId14" Type="http://schemas.openxmlformats.org/officeDocument/2006/relationships/printerSettings" Target="../printerSettings/printerSettings14.bin"/><Relationship Id="rId22" Type="http://schemas.openxmlformats.org/officeDocument/2006/relationships/printerSettings" Target="../printerSettings/printerSettings22.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154.bin"/><Relationship Id="rId2" Type="http://schemas.openxmlformats.org/officeDocument/2006/relationships/printerSettings" Target="../printerSettings/printerSettings153.bin"/><Relationship Id="rId1" Type="http://schemas.openxmlformats.org/officeDocument/2006/relationships/printerSettings" Target="../printerSettings/printerSettings152.bin"/><Relationship Id="rId5" Type="http://schemas.openxmlformats.org/officeDocument/2006/relationships/printerSettings" Target="../printerSettings/printerSettings156.bin"/><Relationship Id="rId4" Type="http://schemas.openxmlformats.org/officeDocument/2006/relationships/printerSettings" Target="../printerSettings/printerSettings155.bin"/></Relationships>
</file>

<file path=xl/worksheets/_rels/sheet11.xml.rels><?xml version="1.0" encoding="UTF-8" standalone="yes"?>
<Relationships xmlns="http://schemas.openxmlformats.org/package/2006/relationships"><Relationship Id="rId8" Type="http://schemas.openxmlformats.org/officeDocument/2006/relationships/printerSettings" Target="../printerSettings/printerSettings164.bin"/><Relationship Id="rId13" Type="http://schemas.openxmlformats.org/officeDocument/2006/relationships/printerSettings" Target="../printerSettings/printerSettings169.bin"/><Relationship Id="rId18" Type="http://schemas.openxmlformats.org/officeDocument/2006/relationships/printerSettings" Target="../printerSettings/printerSettings174.bin"/><Relationship Id="rId3" Type="http://schemas.openxmlformats.org/officeDocument/2006/relationships/printerSettings" Target="../printerSettings/printerSettings159.bin"/><Relationship Id="rId21" Type="http://schemas.openxmlformats.org/officeDocument/2006/relationships/printerSettings" Target="../printerSettings/printerSettings177.bin"/><Relationship Id="rId7" Type="http://schemas.openxmlformats.org/officeDocument/2006/relationships/printerSettings" Target="../printerSettings/printerSettings163.bin"/><Relationship Id="rId12" Type="http://schemas.openxmlformats.org/officeDocument/2006/relationships/printerSettings" Target="../printerSettings/printerSettings168.bin"/><Relationship Id="rId17" Type="http://schemas.openxmlformats.org/officeDocument/2006/relationships/printerSettings" Target="../printerSettings/printerSettings173.bin"/><Relationship Id="rId2" Type="http://schemas.openxmlformats.org/officeDocument/2006/relationships/printerSettings" Target="../printerSettings/printerSettings158.bin"/><Relationship Id="rId16" Type="http://schemas.openxmlformats.org/officeDocument/2006/relationships/printerSettings" Target="../printerSettings/printerSettings172.bin"/><Relationship Id="rId20" Type="http://schemas.openxmlformats.org/officeDocument/2006/relationships/printerSettings" Target="../printerSettings/printerSettings176.bin"/><Relationship Id="rId1" Type="http://schemas.openxmlformats.org/officeDocument/2006/relationships/printerSettings" Target="../printerSettings/printerSettings157.bin"/><Relationship Id="rId6" Type="http://schemas.openxmlformats.org/officeDocument/2006/relationships/printerSettings" Target="../printerSettings/printerSettings162.bin"/><Relationship Id="rId11" Type="http://schemas.openxmlformats.org/officeDocument/2006/relationships/printerSettings" Target="../printerSettings/printerSettings167.bin"/><Relationship Id="rId5" Type="http://schemas.openxmlformats.org/officeDocument/2006/relationships/printerSettings" Target="../printerSettings/printerSettings161.bin"/><Relationship Id="rId15" Type="http://schemas.openxmlformats.org/officeDocument/2006/relationships/printerSettings" Target="../printerSettings/printerSettings171.bin"/><Relationship Id="rId10" Type="http://schemas.openxmlformats.org/officeDocument/2006/relationships/printerSettings" Target="../printerSettings/printerSettings166.bin"/><Relationship Id="rId19" Type="http://schemas.openxmlformats.org/officeDocument/2006/relationships/printerSettings" Target="../printerSettings/printerSettings175.bin"/><Relationship Id="rId4" Type="http://schemas.openxmlformats.org/officeDocument/2006/relationships/printerSettings" Target="../printerSettings/printerSettings160.bin"/><Relationship Id="rId9" Type="http://schemas.openxmlformats.org/officeDocument/2006/relationships/printerSettings" Target="../printerSettings/printerSettings165.bin"/><Relationship Id="rId14" Type="http://schemas.openxmlformats.org/officeDocument/2006/relationships/printerSettings" Target="../printerSettings/printerSettings170.bin"/><Relationship Id="rId22" Type="http://schemas.openxmlformats.org/officeDocument/2006/relationships/printerSettings" Target="../printerSettings/printerSettings178.bin"/></Relationships>
</file>

<file path=xl/worksheets/_rels/sheet12.xml.rels><?xml version="1.0" encoding="UTF-8" standalone="yes"?>
<Relationships xmlns="http://schemas.openxmlformats.org/package/2006/relationships"><Relationship Id="rId8" Type="http://schemas.openxmlformats.org/officeDocument/2006/relationships/printerSettings" Target="../printerSettings/printerSettings186.bin"/><Relationship Id="rId13" Type="http://schemas.openxmlformats.org/officeDocument/2006/relationships/printerSettings" Target="../printerSettings/printerSettings191.bin"/><Relationship Id="rId18" Type="http://schemas.openxmlformats.org/officeDocument/2006/relationships/printerSettings" Target="../printerSettings/printerSettings196.bin"/><Relationship Id="rId3" Type="http://schemas.openxmlformats.org/officeDocument/2006/relationships/printerSettings" Target="../printerSettings/printerSettings181.bin"/><Relationship Id="rId21" Type="http://schemas.openxmlformats.org/officeDocument/2006/relationships/printerSettings" Target="../printerSettings/printerSettings199.bin"/><Relationship Id="rId7" Type="http://schemas.openxmlformats.org/officeDocument/2006/relationships/printerSettings" Target="../printerSettings/printerSettings185.bin"/><Relationship Id="rId12" Type="http://schemas.openxmlformats.org/officeDocument/2006/relationships/printerSettings" Target="../printerSettings/printerSettings190.bin"/><Relationship Id="rId17" Type="http://schemas.openxmlformats.org/officeDocument/2006/relationships/printerSettings" Target="../printerSettings/printerSettings195.bin"/><Relationship Id="rId2" Type="http://schemas.openxmlformats.org/officeDocument/2006/relationships/printerSettings" Target="../printerSettings/printerSettings180.bin"/><Relationship Id="rId16" Type="http://schemas.openxmlformats.org/officeDocument/2006/relationships/printerSettings" Target="../printerSettings/printerSettings194.bin"/><Relationship Id="rId20" Type="http://schemas.openxmlformats.org/officeDocument/2006/relationships/printerSettings" Target="../printerSettings/printerSettings198.bin"/><Relationship Id="rId1" Type="http://schemas.openxmlformats.org/officeDocument/2006/relationships/printerSettings" Target="../printerSettings/printerSettings179.bin"/><Relationship Id="rId6" Type="http://schemas.openxmlformats.org/officeDocument/2006/relationships/printerSettings" Target="../printerSettings/printerSettings184.bin"/><Relationship Id="rId11" Type="http://schemas.openxmlformats.org/officeDocument/2006/relationships/printerSettings" Target="../printerSettings/printerSettings189.bin"/><Relationship Id="rId5" Type="http://schemas.openxmlformats.org/officeDocument/2006/relationships/printerSettings" Target="../printerSettings/printerSettings183.bin"/><Relationship Id="rId15" Type="http://schemas.openxmlformats.org/officeDocument/2006/relationships/printerSettings" Target="../printerSettings/printerSettings193.bin"/><Relationship Id="rId10" Type="http://schemas.openxmlformats.org/officeDocument/2006/relationships/printerSettings" Target="../printerSettings/printerSettings188.bin"/><Relationship Id="rId19" Type="http://schemas.openxmlformats.org/officeDocument/2006/relationships/printerSettings" Target="../printerSettings/printerSettings197.bin"/><Relationship Id="rId4" Type="http://schemas.openxmlformats.org/officeDocument/2006/relationships/printerSettings" Target="../printerSettings/printerSettings182.bin"/><Relationship Id="rId9" Type="http://schemas.openxmlformats.org/officeDocument/2006/relationships/printerSettings" Target="../printerSettings/printerSettings187.bin"/><Relationship Id="rId14" Type="http://schemas.openxmlformats.org/officeDocument/2006/relationships/printerSettings" Target="../printerSettings/printerSettings192.bin"/><Relationship Id="rId22" Type="http://schemas.openxmlformats.org/officeDocument/2006/relationships/printerSettings" Target="../printerSettings/printerSettings200.bin"/></Relationships>
</file>

<file path=xl/worksheets/_rels/sheet13.xml.rels><?xml version="1.0" encoding="UTF-8" standalone="yes"?>
<Relationships xmlns="http://schemas.openxmlformats.org/package/2006/relationships"><Relationship Id="rId8" Type="http://schemas.openxmlformats.org/officeDocument/2006/relationships/printerSettings" Target="../printerSettings/printerSettings208.bin"/><Relationship Id="rId13" Type="http://schemas.openxmlformats.org/officeDocument/2006/relationships/printerSettings" Target="../printerSettings/printerSettings213.bin"/><Relationship Id="rId3" Type="http://schemas.openxmlformats.org/officeDocument/2006/relationships/printerSettings" Target="../printerSettings/printerSettings203.bin"/><Relationship Id="rId7" Type="http://schemas.openxmlformats.org/officeDocument/2006/relationships/printerSettings" Target="../printerSettings/printerSettings207.bin"/><Relationship Id="rId12" Type="http://schemas.openxmlformats.org/officeDocument/2006/relationships/printerSettings" Target="../printerSettings/printerSettings212.bin"/><Relationship Id="rId17" Type="http://schemas.openxmlformats.org/officeDocument/2006/relationships/printerSettings" Target="../printerSettings/printerSettings217.bin"/><Relationship Id="rId2" Type="http://schemas.openxmlformats.org/officeDocument/2006/relationships/printerSettings" Target="../printerSettings/printerSettings202.bin"/><Relationship Id="rId16" Type="http://schemas.openxmlformats.org/officeDocument/2006/relationships/printerSettings" Target="../printerSettings/printerSettings216.bin"/><Relationship Id="rId1" Type="http://schemas.openxmlformats.org/officeDocument/2006/relationships/printerSettings" Target="../printerSettings/printerSettings201.bin"/><Relationship Id="rId6" Type="http://schemas.openxmlformats.org/officeDocument/2006/relationships/printerSettings" Target="../printerSettings/printerSettings206.bin"/><Relationship Id="rId11" Type="http://schemas.openxmlformats.org/officeDocument/2006/relationships/printerSettings" Target="../printerSettings/printerSettings211.bin"/><Relationship Id="rId5" Type="http://schemas.openxmlformats.org/officeDocument/2006/relationships/printerSettings" Target="../printerSettings/printerSettings205.bin"/><Relationship Id="rId15" Type="http://schemas.openxmlformats.org/officeDocument/2006/relationships/printerSettings" Target="../printerSettings/printerSettings215.bin"/><Relationship Id="rId10" Type="http://schemas.openxmlformats.org/officeDocument/2006/relationships/printerSettings" Target="../printerSettings/printerSettings210.bin"/><Relationship Id="rId4" Type="http://schemas.openxmlformats.org/officeDocument/2006/relationships/printerSettings" Target="../printerSettings/printerSettings204.bin"/><Relationship Id="rId9" Type="http://schemas.openxmlformats.org/officeDocument/2006/relationships/printerSettings" Target="../printerSettings/printerSettings209.bin"/><Relationship Id="rId14" Type="http://schemas.openxmlformats.org/officeDocument/2006/relationships/printerSettings" Target="../printerSettings/printerSettings214.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30.bin"/><Relationship Id="rId13" Type="http://schemas.openxmlformats.org/officeDocument/2006/relationships/printerSettings" Target="../printerSettings/printerSettings35.bin"/><Relationship Id="rId18" Type="http://schemas.openxmlformats.org/officeDocument/2006/relationships/printerSettings" Target="../printerSettings/printerSettings40.bin"/><Relationship Id="rId3" Type="http://schemas.openxmlformats.org/officeDocument/2006/relationships/printerSettings" Target="../printerSettings/printerSettings25.bin"/><Relationship Id="rId21" Type="http://schemas.openxmlformats.org/officeDocument/2006/relationships/printerSettings" Target="../printerSettings/printerSettings43.bin"/><Relationship Id="rId7" Type="http://schemas.openxmlformats.org/officeDocument/2006/relationships/printerSettings" Target="../printerSettings/printerSettings29.bin"/><Relationship Id="rId12" Type="http://schemas.openxmlformats.org/officeDocument/2006/relationships/printerSettings" Target="../printerSettings/printerSettings34.bin"/><Relationship Id="rId17" Type="http://schemas.openxmlformats.org/officeDocument/2006/relationships/printerSettings" Target="../printerSettings/printerSettings39.bin"/><Relationship Id="rId2" Type="http://schemas.openxmlformats.org/officeDocument/2006/relationships/printerSettings" Target="../printerSettings/printerSettings24.bin"/><Relationship Id="rId16" Type="http://schemas.openxmlformats.org/officeDocument/2006/relationships/printerSettings" Target="../printerSettings/printerSettings38.bin"/><Relationship Id="rId20" Type="http://schemas.openxmlformats.org/officeDocument/2006/relationships/printerSettings" Target="../printerSettings/printerSettings42.bin"/><Relationship Id="rId1" Type="http://schemas.openxmlformats.org/officeDocument/2006/relationships/printerSettings" Target="../printerSettings/printerSettings23.bin"/><Relationship Id="rId6" Type="http://schemas.openxmlformats.org/officeDocument/2006/relationships/printerSettings" Target="../printerSettings/printerSettings28.bin"/><Relationship Id="rId11" Type="http://schemas.openxmlformats.org/officeDocument/2006/relationships/printerSettings" Target="../printerSettings/printerSettings33.bin"/><Relationship Id="rId5" Type="http://schemas.openxmlformats.org/officeDocument/2006/relationships/printerSettings" Target="../printerSettings/printerSettings27.bin"/><Relationship Id="rId15" Type="http://schemas.openxmlformats.org/officeDocument/2006/relationships/printerSettings" Target="../printerSettings/printerSettings37.bin"/><Relationship Id="rId10" Type="http://schemas.openxmlformats.org/officeDocument/2006/relationships/printerSettings" Target="../printerSettings/printerSettings32.bin"/><Relationship Id="rId19" Type="http://schemas.openxmlformats.org/officeDocument/2006/relationships/printerSettings" Target="../printerSettings/printerSettings41.bin"/><Relationship Id="rId4" Type="http://schemas.openxmlformats.org/officeDocument/2006/relationships/printerSettings" Target="../printerSettings/printerSettings26.bin"/><Relationship Id="rId9" Type="http://schemas.openxmlformats.org/officeDocument/2006/relationships/printerSettings" Target="../printerSettings/printerSettings31.bin"/><Relationship Id="rId14" Type="http://schemas.openxmlformats.org/officeDocument/2006/relationships/printerSettings" Target="../printerSettings/printerSettings36.bin"/><Relationship Id="rId22" Type="http://schemas.openxmlformats.org/officeDocument/2006/relationships/printerSettings" Target="../printerSettings/printerSettings44.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47.bin"/><Relationship Id="rId2" Type="http://schemas.openxmlformats.org/officeDocument/2006/relationships/printerSettings" Target="../printerSettings/printerSettings46.bin"/><Relationship Id="rId1" Type="http://schemas.openxmlformats.org/officeDocument/2006/relationships/printerSettings" Target="../printerSettings/printerSettings45.bin"/></Relationships>
</file>

<file path=xl/worksheets/_rels/sheet4.xml.rels><?xml version="1.0" encoding="UTF-8" standalone="yes"?>
<Relationships xmlns="http://schemas.openxmlformats.org/package/2006/relationships"><Relationship Id="rId8" Type="http://schemas.openxmlformats.org/officeDocument/2006/relationships/printerSettings" Target="../printerSettings/printerSettings55.bin"/><Relationship Id="rId13" Type="http://schemas.openxmlformats.org/officeDocument/2006/relationships/printerSettings" Target="../printerSettings/printerSettings60.bin"/><Relationship Id="rId18" Type="http://schemas.openxmlformats.org/officeDocument/2006/relationships/printerSettings" Target="../printerSettings/printerSettings65.bin"/><Relationship Id="rId3" Type="http://schemas.openxmlformats.org/officeDocument/2006/relationships/printerSettings" Target="../printerSettings/printerSettings50.bin"/><Relationship Id="rId21" Type="http://schemas.openxmlformats.org/officeDocument/2006/relationships/printerSettings" Target="../printerSettings/printerSettings68.bin"/><Relationship Id="rId7" Type="http://schemas.openxmlformats.org/officeDocument/2006/relationships/printerSettings" Target="../printerSettings/printerSettings54.bin"/><Relationship Id="rId12" Type="http://schemas.openxmlformats.org/officeDocument/2006/relationships/printerSettings" Target="../printerSettings/printerSettings59.bin"/><Relationship Id="rId17" Type="http://schemas.openxmlformats.org/officeDocument/2006/relationships/printerSettings" Target="../printerSettings/printerSettings64.bin"/><Relationship Id="rId2" Type="http://schemas.openxmlformats.org/officeDocument/2006/relationships/printerSettings" Target="../printerSettings/printerSettings49.bin"/><Relationship Id="rId16" Type="http://schemas.openxmlformats.org/officeDocument/2006/relationships/printerSettings" Target="../printerSettings/printerSettings63.bin"/><Relationship Id="rId20" Type="http://schemas.openxmlformats.org/officeDocument/2006/relationships/printerSettings" Target="../printerSettings/printerSettings67.bin"/><Relationship Id="rId1" Type="http://schemas.openxmlformats.org/officeDocument/2006/relationships/printerSettings" Target="../printerSettings/printerSettings48.bin"/><Relationship Id="rId6" Type="http://schemas.openxmlformats.org/officeDocument/2006/relationships/printerSettings" Target="../printerSettings/printerSettings53.bin"/><Relationship Id="rId11" Type="http://schemas.openxmlformats.org/officeDocument/2006/relationships/printerSettings" Target="../printerSettings/printerSettings58.bin"/><Relationship Id="rId24" Type="http://schemas.openxmlformats.org/officeDocument/2006/relationships/comments" Target="../comments1.xml"/><Relationship Id="rId5" Type="http://schemas.openxmlformats.org/officeDocument/2006/relationships/printerSettings" Target="../printerSettings/printerSettings52.bin"/><Relationship Id="rId15" Type="http://schemas.openxmlformats.org/officeDocument/2006/relationships/printerSettings" Target="../printerSettings/printerSettings62.bin"/><Relationship Id="rId23" Type="http://schemas.openxmlformats.org/officeDocument/2006/relationships/vmlDrawing" Target="../drawings/vmlDrawing1.vml"/><Relationship Id="rId10" Type="http://schemas.openxmlformats.org/officeDocument/2006/relationships/printerSettings" Target="../printerSettings/printerSettings57.bin"/><Relationship Id="rId19" Type="http://schemas.openxmlformats.org/officeDocument/2006/relationships/printerSettings" Target="../printerSettings/printerSettings66.bin"/><Relationship Id="rId4" Type="http://schemas.openxmlformats.org/officeDocument/2006/relationships/printerSettings" Target="../printerSettings/printerSettings51.bin"/><Relationship Id="rId9" Type="http://schemas.openxmlformats.org/officeDocument/2006/relationships/printerSettings" Target="../printerSettings/printerSettings56.bin"/><Relationship Id="rId14" Type="http://schemas.openxmlformats.org/officeDocument/2006/relationships/printerSettings" Target="../printerSettings/printerSettings61.bin"/><Relationship Id="rId22" Type="http://schemas.openxmlformats.org/officeDocument/2006/relationships/printerSettings" Target="../printerSettings/printerSettings69.bin"/></Relationships>
</file>

<file path=xl/worksheets/_rels/sheet5.xml.rels><?xml version="1.0" encoding="UTF-8" standalone="yes"?>
<Relationships xmlns="http://schemas.openxmlformats.org/package/2006/relationships"><Relationship Id="rId8" Type="http://schemas.openxmlformats.org/officeDocument/2006/relationships/printerSettings" Target="../printerSettings/printerSettings77.bin"/><Relationship Id="rId13" Type="http://schemas.openxmlformats.org/officeDocument/2006/relationships/printerSettings" Target="../printerSettings/printerSettings82.bin"/><Relationship Id="rId18" Type="http://schemas.openxmlformats.org/officeDocument/2006/relationships/printerSettings" Target="../printerSettings/printerSettings87.bin"/><Relationship Id="rId3" Type="http://schemas.openxmlformats.org/officeDocument/2006/relationships/printerSettings" Target="../printerSettings/printerSettings72.bin"/><Relationship Id="rId21" Type="http://schemas.openxmlformats.org/officeDocument/2006/relationships/printerSettings" Target="../printerSettings/printerSettings90.bin"/><Relationship Id="rId7" Type="http://schemas.openxmlformats.org/officeDocument/2006/relationships/printerSettings" Target="../printerSettings/printerSettings76.bin"/><Relationship Id="rId12" Type="http://schemas.openxmlformats.org/officeDocument/2006/relationships/printerSettings" Target="../printerSettings/printerSettings81.bin"/><Relationship Id="rId17" Type="http://schemas.openxmlformats.org/officeDocument/2006/relationships/printerSettings" Target="../printerSettings/printerSettings86.bin"/><Relationship Id="rId2" Type="http://schemas.openxmlformats.org/officeDocument/2006/relationships/printerSettings" Target="../printerSettings/printerSettings71.bin"/><Relationship Id="rId16" Type="http://schemas.openxmlformats.org/officeDocument/2006/relationships/printerSettings" Target="../printerSettings/printerSettings85.bin"/><Relationship Id="rId20" Type="http://schemas.openxmlformats.org/officeDocument/2006/relationships/printerSettings" Target="../printerSettings/printerSettings89.bin"/><Relationship Id="rId1" Type="http://schemas.openxmlformats.org/officeDocument/2006/relationships/printerSettings" Target="../printerSettings/printerSettings70.bin"/><Relationship Id="rId6" Type="http://schemas.openxmlformats.org/officeDocument/2006/relationships/printerSettings" Target="../printerSettings/printerSettings75.bin"/><Relationship Id="rId11" Type="http://schemas.openxmlformats.org/officeDocument/2006/relationships/printerSettings" Target="../printerSettings/printerSettings80.bin"/><Relationship Id="rId24" Type="http://schemas.openxmlformats.org/officeDocument/2006/relationships/comments" Target="../comments2.xml"/><Relationship Id="rId5" Type="http://schemas.openxmlformats.org/officeDocument/2006/relationships/printerSettings" Target="../printerSettings/printerSettings74.bin"/><Relationship Id="rId15" Type="http://schemas.openxmlformats.org/officeDocument/2006/relationships/printerSettings" Target="../printerSettings/printerSettings84.bin"/><Relationship Id="rId23" Type="http://schemas.openxmlformats.org/officeDocument/2006/relationships/vmlDrawing" Target="../drawings/vmlDrawing2.vml"/><Relationship Id="rId10" Type="http://schemas.openxmlformats.org/officeDocument/2006/relationships/printerSettings" Target="../printerSettings/printerSettings79.bin"/><Relationship Id="rId19" Type="http://schemas.openxmlformats.org/officeDocument/2006/relationships/printerSettings" Target="../printerSettings/printerSettings88.bin"/><Relationship Id="rId4" Type="http://schemas.openxmlformats.org/officeDocument/2006/relationships/printerSettings" Target="../printerSettings/printerSettings73.bin"/><Relationship Id="rId9" Type="http://schemas.openxmlformats.org/officeDocument/2006/relationships/printerSettings" Target="../printerSettings/printerSettings78.bin"/><Relationship Id="rId14" Type="http://schemas.openxmlformats.org/officeDocument/2006/relationships/printerSettings" Target="../printerSettings/printerSettings83.bin"/><Relationship Id="rId22" Type="http://schemas.openxmlformats.org/officeDocument/2006/relationships/printerSettings" Target="../printerSettings/printerSettings91.bin"/></Relationships>
</file>

<file path=xl/worksheets/_rels/sheet6.xml.rels><?xml version="1.0" encoding="UTF-8" standalone="yes"?>
<Relationships xmlns="http://schemas.openxmlformats.org/package/2006/relationships"><Relationship Id="rId8" Type="http://schemas.openxmlformats.org/officeDocument/2006/relationships/printerSettings" Target="../printerSettings/printerSettings99.bin"/><Relationship Id="rId13" Type="http://schemas.openxmlformats.org/officeDocument/2006/relationships/printerSettings" Target="../printerSettings/printerSettings104.bin"/><Relationship Id="rId18" Type="http://schemas.openxmlformats.org/officeDocument/2006/relationships/printerSettings" Target="../printerSettings/printerSettings109.bin"/><Relationship Id="rId3" Type="http://schemas.openxmlformats.org/officeDocument/2006/relationships/printerSettings" Target="../printerSettings/printerSettings94.bin"/><Relationship Id="rId21" Type="http://schemas.openxmlformats.org/officeDocument/2006/relationships/printerSettings" Target="../printerSettings/printerSettings112.bin"/><Relationship Id="rId7" Type="http://schemas.openxmlformats.org/officeDocument/2006/relationships/printerSettings" Target="../printerSettings/printerSettings98.bin"/><Relationship Id="rId12" Type="http://schemas.openxmlformats.org/officeDocument/2006/relationships/printerSettings" Target="../printerSettings/printerSettings103.bin"/><Relationship Id="rId17" Type="http://schemas.openxmlformats.org/officeDocument/2006/relationships/printerSettings" Target="../printerSettings/printerSettings108.bin"/><Relationship Id="rId2" Type="http://schemas.openxmlformats.org/officeDocument/2006/relationships/printerSettings" Target="../printerSettings/printerSettings93.bin"/><Relationship Id="rId16" Type="http://schemas.openxmlformats.org/officeDocument/2006/relationships/printerSettings" Target="../printerSettings/printerSettings107.bin"/><Relationship Id="rId20" Type="http://schemas.openxmlformats.org/officeDocument/2006/relationships/printerSettings" Target="../printerSettings/printerSettings111.bin"/><Relationship Id="rId1" Type="http://schemas.openxmlformats.org/officeDocument/2006/relationships/printerSettings" Target="../printerSettings/printerSettings92.bin"/><Relationship Id="rId6" Type="http://schemas.openxmlformats.org/officeDocument/2006/relationships/printerSettings" Target="../printerSettings/printerSettings97.bin"/><Relationship Id="rId11" Type="http://schemas.openxmlformats.org/officeDocument/2006/relationships/printerSettings" Target="../printerSettings/printerSettings102.bin"/><Relationship Id="rId5" Type="http://schemas.openxmlformats.org/officeDocument/2006/relationships/printerSettings" Target="../printerSettings/printerSettings96.bin"/><Relationship Id="rId15" Type="http://schemas.openxmlformats.org/officeDocument/2006/relationships/printerSettings" Target="../printerSettings/printerSettings106.bin"/><Relationship Id="rId10" Type="http://schemas.openxmlformats.org/officeDocument/2006/relationships/printerSettings" Target="../printerSettings/printerSettings101.bin"/><Relationship Id="rId19" Type="http://schemas.openxmlformats.org/officeDocument/2006/relationships/printerSettings" Target="../printerSettings/printerSettings110.bin"/><Relationship Id="rId4" Type="http://schemas.openxmlformats.org/officeDocument/2006/relationships/printerSettings" Target="../printerSettings/printerSettings95.bin"/><Relationship Id="rId9" Type="http://schemas.openxmlformats.org/officeDocument/2006/relationships/printerSettings" Target="../printerSettings/printerSettings100.bin"/><Relationship Id="rId14" Type="http://schemas.openxmlformats.org/officeDocument/2006/relationships/printerSettings" Target="../printerSettings/printerSettings105.bin"/><Relationship Id="rId22" Type="http://schemas.openxmlformats.org/officeDocument/2006/relationships/printerSettings" Target="../printerSettings/printerSettings113.bin"/></Relationships>
</file>

<file path=xl/worksheets/_rels/sheet7.xml.rels><?xml version="1.0" encoding="UTF-8" standalone="yes"?>
<Relationships xmlns="http://schemas.openxmlformats.org/package/2006/relationships"><Relationship Id="rId8" Type="http://schemas.openxmlformats.org/officeDocument/2006/relationships/printerSettings" Target="../printerSettings/printerSettings121.bin"/><Relationship Id="rId13" Type="http://schemas.openxmlformats.org/officeDocument/2006/relationships/printerSettings" Target="../printerSettings/printerSettings126.bin"/><Relationship Id="rId18" Type="http://schemas.openxmlformats.org/officeDocument/2006/relationships/printerSettings" Target="../printerSettings/printerSettings131.bin"/><Relationship Id="rId3" Type="http://schemas.openxmlformats.org/officeDocument/2006/relationships/printerSettings" Target="../printerSettings/printerSettings116.bin"/><Relationship Id="rId21" Type="http://schemas.openxmlformats.org/officeDocument/2006/relationships/printerSettings" Target="../printerSettings/printerSettings134.bin"/><Relationship Id="rId7" Type="http://schemas.openxmlformats.org/officeDocument/2006/relationships/printerSettings" Target="../printerSettings/printerSettings120.bin"/><Relationship Id="rId12" Type="http://schemas.openxmlformats.org/officeDocument/2006/relationships/printerSettings" Target="../printerSettings/printerSettings125.bin"/><Relationship Id="rId17" Type="http://schemas.openxmlformats.org/officeDocument/2006/relationships/printerSettings" Target="../printerSettings/printerSettings130.bin"/><Relationship Id="rId2" Type="http://schemas.openxmlformats.org/officeDocument/2006/relationships/printerSettings" Target="../printerSettings/printerSettings115.bin"/><Relationship Id="rId16" Type="http://schemas.openxmlformats.org/officeDocument/2006/relationships/printerSettings" Target="../printerSettings/printerSettings129.bin"/><Relationship Id="rId20" Type="http://schemas.openxmlformats.org/officeDocument/2006/relationships/printerSettings" Target="../printerSettings/printerSettings133.bin"/><Relationship Id="rId1" Type="http://schemas.openxmlformats.org/officeDocument/2006/relationships/printerSettings" Target="../printerSettings/printerSettings114.bin"/><Relationship Id="rId6" Type="http://schemas.openxmlformats.org/officeDocument/2006/relationships/printerSettings" Target="../printerSettings/printerSettings119.bin"/><Relationship Id="rId11" Type="http://schemas.openxmlformats.org/officeDocument/2006/relationships/printerSettings" Target="../printerSettings/printerSettings124.bin"/><Relationship Id="rId5" Type="http://schemas.openxmlformats.org/officeDocument/2006/relationships/printerSettings" Target="../printerSettings/printerSettings118.bin"/><Relationship Id="rId15" Type="http://schemas.openxmlformats.org/officeDocument/2006/relationships/printerSettings" Target="../printerSettings/printerSettings128.bin"/><Relationship Id="rId10" Type="http://schemas.openxmlformats.org/officeDocument/2006/relationships/printerSettings" Target="../printerSettings/printerSettings123.bin"/><Relationship Id="rId19" Type="http://schemas.openxmlformats.org/officeDocument/2006/relationships/printerSettings" Target="../printerSettings/printerSettings132.bin"/><Relationship Id="rId4" Type="http://schemas.openxmlformats.org/officeDocument/2006/relationships/printerSettings" Target="../printerSettings/printerSettings117.bin"/><Relationship Id="rId9" Type="http://schemas.openxmlformats.org/officeDocument/2006/relationships/printerSettings" Target="../printerSettings/printerSettings122.bin"/><Relationship Id="rId14" Type="http://schemas.openxmlformats.org/officeDocument/2006/relationships/printerSettings" Target="../printerSettings/printerSettings127.bin"/></Relationships>
</file>

<file path=xl/worksheets/_rels/sheet9.xml.rels><?xml version="1.0" encoding="UTF-8" standalone="yes"?>
<Relationships xmlns="http://schemas.openxmlformats.org/package/2006/relationships"><Relationship Id="rId8" Type="http://schemas.openxmlformats.org/officeDocument/2006/relationships/printerSettings" Target="../printerSettings/printerSettings142.bin"/><Relationship Id="rId13" Type="http://schemas.openxmlformats.org/officeDocument/2006/relationships/printerSettings" Target="../printerSettings/printerSettings147.bin"/><Relationship Id="rId3" Type="http://schemas.openxmlformats.org/officeDocument/2006/relationships/printerSettings" Target="../printerSettings/printerSettings137.bin"/><Relationship Id="rId7" Type="http://schemas.openxmlformats.org/officeDocument/2006/relationships/printerSettings" Target="../printerSettings/printerSettings141.bin"/><Relationship Id="rId12" Type="http://schemas.openxmlformats.org/officeDocument/2006/relationships/printerSettings" Target="../printerSettings/printerSettings146.bin"/><Relationship Id="rId17" Type="http://schemas.openxmlformats.org/officeDocument/2006/relationships/printerSettings" Target="../printerSettings/printerSettings151.bin"/><Relationship Id="rId2" Type="http://schemas.openxmlformats.org/officeDocument/2006/relationships/printerSettings" Target="../printerSettings/printerSettings136.bin"/><Relationship Id="rId16" Type="http://schemas.openxmlformats.org/officeDocument/2006/relationships/printerSettings" Target="../printerSettings/printerSettings150.bin"/><Relationship Id="rId1" Type="http://schemas.openxmlformats.org/officeDocument/2006/relationships/printerSettings" Target="../printerSettings/printerSettings135.bin"/><Relationship Id="rId6" Type="http://schemas.openxmlformats.org/officeDocument/2006/relationships/printerSettings" Target="../printerSettings/printerSettings140.bin"/><Relationship Id="rId11" Type="http://schemas.openxmlformats.org/officeDocument/2006/relationships/printerSettings" Target="../printerSettings/printerSettings145.bin"/><Relationship Id="rId5" Type="http://schemas.openxmlformats.org/officeDocument/2006/relationships/printerSettings" Target="../printerSettings/printerSettings139.bin"/><Relationship Id="rId15" Type="http://schemas.openxmlformats.org/officeDocument/2006/relationships/printerSettings" Target="../printerSettings/printerSettings149.bin"/><Relationship Id="rId10" Type="http://schemas.openxmlformats.org/officeDocument/2006/relationships/printerSettings" Target="../printerSettings/printerSettings144.bin"/><Relationship Id="rId4" Type="http://schemas.openxmlformats.org/officeDocument/2006/relationships/printerSettings" Target="../printerSettings/printerSettings138.bin"/><Relationship Id="rId9" Type="http://schemas.openxmlformats.org/officeDocument/2006/relationships/printerSettings" Target="../printerSettings/printerSettings143.bin"/><Relationship Id="rId14" Type="http://schemas.openxmlformats.org/officeDocument/2006/relationships/printerSettings" Target="../printerSettings/printerSettings14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4"/>
  <sheetViews>
    <sheetView workbookViewId="0">
      <selection activeCell="E4" sqref="E4"/>
    </sheetView>
  </sheetViews>
  <sheetFormatPr defaultRowHeight="12.75" x14ac:dyDescent="0.2"/>
  <cols>
    <col min="1" max="1" width="25.85546875" customWidth="1"/>
    <col min="2" max="2" width="86.140625" style="59" customWidth="1"/>
  </cols>
  <sheetData>
    <row r="1" spans="1:2" ht="23.25" x14ac:dyDescent="0.35">
      <c r="A1" s="73" t="s">
        <v>0</v>
      </c>
      <c r="B1" s="140"/>
    </row>
    <row r="2" spans="1:2" ht="23.25" x14ac:dyDescent="0.35">
      <c r="A2" s="73" t="s">
        <v>1</v>
      </c>
      <c r="B2" s="140"/>
    </row>
    <row r="3" spans="1:2" x14ac:dyDescent="0.2">
      <c r="A3" s="96"/>
      <c r="B3" s="140"/>
    </row>
    <row r="4" spans="1:2" ht="60.75" customHeight="1" x14ac:dyDescent="0.2">
      <c r="A4" s="788" t="s">
        <v>2</v>
      </c>
      <c r="B4" s="788"/>
    </row>
    <row r="5" spans="1:2" x14ac:dyDescent="0.2">
      <c r="A5" s="96"/>
      <c r="B5" s="140"/>
    </row>
    <row r="6" spans="1:2" ht="15" x14ac:dyDescent="0.25">
      <c r="A6" s="144" t="s">
        <v>3</v>
      </c>
      <c r="B6" s="145" t="s">
        <v>4</v>
      </c>
    </row>
    <row r="7" spans="1:2" s="58" customFormat="1" ht="33" customHeight="1" x14ac:dyDescent="0.2">
      <c r="A7" s="142" t="s">
        <v>5</v>
      </c>
      <c r="B7" s="143" t="s">
        <v>6</v>
      </c>
    </row>
    <row r="8" spans="1:2" s="58" customFormat="1" ht="29.25" customHeight="1" x14ac:dyDescent="0.2">
      <c r="A8" s="146" t="s">
        <v>7</v>
      </c>
      <c r="B8" s="147" t="s">
        <v>8</v>
      </c>
    </row>
    <row r="9" spans="1:2" ht="32.25" customHeight="1" x14ac:dyDescent="0.25">
      <c r="A9" s="148" t="s">
        <v>9</v>
      </c>
      <c r="B9" s="147" t="s">
        <v>10</v>
      </c>
    </row>
    <row r="10" spans="1:2" ht="30" x14ac:dyDescent="0.25">
      <c r="A10" s="148" t="s">
        <v>11</v>
      </c>
      <c r="B10" s="147" t="s">
        <v>12</v>
      </c>
    </row>
    <row r="11" spans="1:2" ht="18" customHeight="1" x14ac:dyDescent="0.25">
      <c r="A11" s="148" t="s">
        <v>13</v>
      </c>
      <c r="B11" s="147" t="s">
        <v>14</v>
      </c>
    </row>
    <row r="12" spans="1:2" ht="15" x14ac:dyDescent="0.25">
      <c r="A12" s="66" t="s">
        <v>15</v>
      </c>
      <c r="B12" s="143" t="s">
        <v>16</v>
      </c>
    </row>
    <row r="14" spans="1:2" ht="12.75" customHeight="1" x14ac:dyDescent="0.2"/>
  </sheetData>
  <customSheetViews>
    <customSheetView guid="{AEFEB150-9213-45F5-A178-7AC71E46DB11}">
      <selection activeCell="E4" sqref="E4"/>
      <pageMargins left="0" right="0" top="0" bottom="0" header="0" footer="0"/>
      <pageSetup orientation="portrait" r:id="rId1"/>
      <headerFooter alignWithMargins="0"/>
    </customSheetView>
    <customSheetView guid="{AB763728-FC8E-40B1-8BAD-FF6772AD9A46}">
      <selection activeCell="E4" sqref="E4"/>
      <pageMargins left="0" right="0" top="0" bottom="0" header="0" footer="0"/>
      <pageSetup orientation="portrait" r:id="rId2"/>
      <headerFooter alignWithMargins="0"/>
    </customSheetView>
    <customSheetView guid="{08B0A6E6-0C62-4331-9E9A-05DFF5B8DF5B}">
      <selection activeCell="B11" sqref="B11"/>
      <pageMargins left="0" right="0" top="0" bottom="0" header="0" footer="0"/>
      <pageSetup orientation="portrait" r:id="rId3"/>
      <headerFooter alignWithMargins="0"/>
    </customSheetView>
    <customSheetView guid="{70E2A0B1-0EA6-43AE-8715-395179465BE5}">
      <selection activeCell="A17" sqref="A17"/>
      <pageMargins left="0" right="0" top="0" bottom="0" header="0" footer="0"/>
      <pageSetup orientation="portrait" r:id="rId4"/>
      <headerFooter alignWithMargins="0"/>
    </customSheetView>
    <customSheetView guid="{34052DE1-5E82-4B7C-8FA6-8E533676FB0A}">
      <selection activeCell="A2" sqref="A2"/>
      <pageMargins left="0" right="0" top="0" bottom="0" header="0" footer="0"/>
      <pageSetup orientation="portrait" r:id="rId5"/>
      <headerFooter alignWithMargins="0"/>
    </customSheetView>
    <customSheetView guid="{A2518DB3-3A80-4035-9307-EC50A7C923F2}">
      <selection activeCell="A12" sqref="A12"/>
      <pageMargins left="0" right="0" top="0" bottom="0" header="0" footer="0"/>
      <pageSetup orientation="portrait" r:id="rId6"/>
      <headerFooter alignWithMargins="0"/>
    </customSheetView>
    <customSheetView guid="{E81D05A4-5B21-42D3-A8D3-906ABCABC0F4}">
      <selection activeCell="A11" sqref="A11"/>
      <pageMargins left="0" right="0" top="0" bottom="0" header="0" footer="0"/>
      <pageSetup orientation="portrait" r:id="rId7"/>
      <headerFooter alignWithMargins="0"/>
    </customSheetView>
    <customSheetView guid="{E44F5FE1-54FC-4AB3-84F9-7D65ACF2DDE7}">
      <selection activeCell="E4" sqref="E4"/>
      <pageMargins left="0" right="0" top="0" bottom="0" header="0" footer="0"/>
      <pageSetup orientation="portrait" r:id="rId8"/>
      <headerFooter alignWithMargins="0"/>
    </customSheetView>
    <customSheetView guid="{94DA13B6-7351-40F3-8CF7-A4211EC439DA}">
      <selection activeCell="E4" sqref="E4"/>
      <pageMargins left="0" right="0" top="0" bottom="0" header="0" footer="0"/>
      <pageSetup orientation="portrait" r:id="rId9"/>
      <headerFooter alignWithMargins="0"/>
    </customSheetView>
    <customSheetView guid="{8F508F4D-4777-42BE-9707-8CB9355F7BDB}">
      <selection activeCell="E4" sqref="E4"/>
      <pageMargins left="0" right="0" top="0" bottom="0" header="0" footer="0"/>
      <pageSetup orientation="portrait" r:id="rId10"/>
      <headerFooter alignWithMargins="0"/>
    </customSheetView>
    <customSheetView guid="{F784130D-F647-4ABA-8943-C79CA5B0FDC4}">
      <selection activeCell="E4" sqref="E4"/>
      <pageMargins left="0" right="0" top="0" bottom="0" header="0" footer="0"/>
      <pageSetup orientation="portrait" r:id="rId11"/>
      <headerFooter alignWithMargins="0"/>
    </customSheetView>
    <customSheetView guid="{1E5198E1-BA46-4CE0-8628-4F695B0D7A3B}">
      <selection activeCell="E4" sqref="E4"/>
      <pageMargins left="0" right="0" top="0" bottom="0" header="0" footer="0"/>
      <pageSetup orientation="portrait" r:id="rId12"/>
      <headerFooter alignWithMargins="0"/>
    </customSheetView>
    <customSheetView guid="{455630F5-40FC-47DB-8AD4-712C20B8FB91}">
      <selection activeCell="A12" sqref="A12"/>
      <pageMargins left="0" right="0" top="0" bottom="0" header="0" footer="0"/>
      <pageSetup orientation="portrait" r:id="rId13"/>
      <headerFooter alignWithMargins="0"/>
    </customSheetView>
    <customSheetView guid="{9D4F0482-B164-4671-805A-E0D2D4DD4720}">
      <selection activeCell="E4" sqref="E4"/>
      <pageMargins left="0" right="0" top="0" bottom="0" header="0" footer="0"/>
      <pageSetup orientation="portrait" r:id="rId14"/>
      <headerFooter alignWithMargins="0"/>
    </customSheetView>
    <customSheetView guid="{567C3053-2D8E-4705-8DC7-18896C5303CA}" showPageBreaks="1" topLeftCell="A7">
      <selection activeCell="B17" sqref="B17"/>
      <pageMargins left="0" right="0" top="0" bottom="0" header="0" footer="0"/>
      <pageSetup orientation="portrait" r:id="rId15"/>
      <headerFooter alignWithMargins="0"/>
    </customSheetView>
    <customSheetView guid="{7A9890A5-7CC2-466F-AA52-39E8D428DC1C}">
      <selection activeCell="B1" sqref="B1"/>
      <pageMargins left="0" right="0" top="0" bottom="0" header="0" footer="0"/>
      <pageSetup orientation="portrait" r:id="rId16"/>
      <headerFooter alignWithMargins="0"/>
    </customSheetView>
    <customSheetView guid="{CBA65C9F-528B-4CA5-AFDD-C38CD40775BB}">
      <selection activeCell="E4" sqref="E4"/>
      <pageMargins left="0" right="0" top="0" bottom="0" header="0" footer="0"/>
      <pageSetup orientation="portrait" r:id="rId17"/>
      <headerFooter alignWithMargins="0"/>
    </customSheetView>
    <customSheetView guid="{78CA186D-B240-44D5-8A24-D241DE0B0FD9}">
      <selection activeCell="B15" sqref="B15"/>
      <pageMargins left="0" right="0" top="0" bottom="0" header="0" footer="0"/>
      <pageSetup orientation="portrait" r:id="rId18"/>
      <headerFooter alignWithMargins="0"/>
    </customSheetView>
    <customSheetView guid="{5102CD51-6323-4C0C-991F-AF8276ECBB13}">
      <selection activeCell="K3" sqref="K3"/>
      <pageMargins left="0.75" right="0.75" top="1" bottom="1" header="0.5" footer="0.5"/>
      <pageSetup orientation="portrait" r:id="rId19"/>
      <headerFooter alignWithMargins="0"/>
    </customSheetView>
    <customSheetView guid="{FF124C4D-20DF-4C1B-B072-A9ABB2F1106A}">
      <selection activeCell="A12" sqref="A12"/>
      <pageMargins left="0" right="0" top="0" bottom="0" header="0" footer="0"/>
      <pageSetup orientation="portrait" r:id="rId20"/>
      <headerFooter alignWithMargins="0"/>
    </customSheetView>
    <customSheetView guid="{50528D02-548E-47E0-94D7-D1E79CD3569C}">
      <selection activeCell="A12" sqref="A12"/>
      <pageMargins left="0" right="0" top="0" bottom="0" header="0" footer="0"/>
      <pageSetup orientation="portrait" r:id="rId21"/>
      <headerFooter alignWithMargins="0"/>
    </customSheetView>
  </customSheetViews>
  <mergeCells count="1">
    <mergeCell ref="A4:B4"/>
  </mergeCells>
  <phoneticPr fontId="9" type="noConversion"/>
  <pageMargins left="0" right="0" top="0" bottom="0" header="0" footer="0"/>
  <pageSetup orientation="portrait" r:id="rId22"/>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22"/>
  <sheetViews>
    <sheetView topLeftCell="A7" zoomScale="85" zoomScaleNormal="85" workbookViewId="0">
      <pane xSplit="1" ySplit="3" topLeftCell="B10" activePane="bottomRight" state="frozen"/>
      <selection activeCell="A7" sqref="A7"/>
      <selection pane="topRight" activeCell="B7" sqref="B7"/>
      <selection pane="bottomLeft" activeCell="A10" sqref="A10"/>
      <selection pane="bottomRight" activeCell="M204" sqref="M204"/>
    </sheetView>
  </sheetViews>
  <sheetFormatPr defaultRowHeight="12.75" x14ac:dyDescent="0.2"/>
  <cols>
    <col min="1" max="1" width="42.7109375" style="24" customWidth="1"/>
    <col min="2" max="2" width="13.5703125" style="25" customWidth="1"/>
    <col min="3" max="3" width="11.7109375" style="25" customWidth="1"/>
    <col min="4" max="4" width="12.140625" style="25" customWidth="1"/>
    <col min="5" max="5" width="9.5703125" customWidth="1"/>
    <col min="6" max="6" width="12.85546875" style="25" bestFit="1" customWidth="1"/>
    <col min="7" max="7" width="12.42578125" style="25" customWidth="1"/>
    <col min="8" max="8" width="12.28515625" style="32" customWidth="1"/>
  </cols>
  <sheetData>
    <row r="1" spans="1:10" x14ac:dyDescent="0.2">
      <c r="A1" s="11"/>
      <c r="B1" s="697"/>
      <c r="C1" s="697"/>
      <c r="D1" s="697"/>
      <c r="E1" s="57"/>
      <c r="F1" s="697"/>
      <c r="G1" s="697"/>
      <c r="H1" s="698"/>
    </row>
    <row r="2" spans="1:10" x14ac:dyDescent="0.2">
      <c r="A2" s="11"/>
      <c r="B2" s="697"/>
      <c r="C2" s="697"/>
      <c r="D2" s="697"/>
      <c r="E2" s="57"/>
      <c r="F2" s="697"/>
      <c r="G2" s="697"/>
      <c r="H2" s="698"/>
    </row>
    <row r="3" spans="1:10" x14ac:dyDescent="0.2">
      <c r="A3" s="57"/>
      <c r="B3" s="697"/>
      <c r="C3" s="697"/>
      <c r="D3" s="697"/>
      <c r="E3" s="57"/>
      <c r="F3" s="697"/>
      <c r="G3" s="697"/>
      <c r="H3" s="698"/>
    </row>
    <row r="4" spans="1:10" x14ac:dyDescent="0.2">
      <c r="A4" s="57"/>
      <c r="B4" s="697"/>
      <c r="C4" s="697"/>
      <c r="D4" s="697"/>
      <c r="E4" s="57"/>
      <c r="F4" s="697"/>
      <c r="G4" s="697"/>
      <c r="H4" s="698"/>
    </row>
    <row r="5" spans="1:10" x14ac:dyDescent="0.2">
      <c r="A5" s="699"/>
      <c r="B5" s="697"/>
      <c r="C5" s="697"/>
      <c r="D5" s="697"/>
      <c r="E5" s="57"/>
      <c r="F5" s="697"/>
      <c r="G5" s="697"/>
      <c r="H5" s="698"/>
    </row>
    <row r="6" spans="1:10" ht="13.5" thickBot="1" x14ac:dyDescent="0.25">
      <c r="A6" s="57"/>
      <c r="B6" s="697"/>
      <c r="C6" s="697"/>
      <c r="D6" s="697"/>
      <c r="E6" s="57"/>
      <c r="F6" s="697"/>
      <c r="G6" s="697"/>
      <c r="H6" s="698"/>
    </row>
    <row r="7" spans="1:10" ht="13.5" customHeight="1" thickBot="1" x14ac:dyDescent="0.25">
      <c r="A7" s="700"/>
      <c r="B7" s="44"/>
      <c r="C7" s="778"/>
      <c r="D7" s="836"/>
      <c r="E7" s="837"/>
      <c r="F7" s="44"/>
      <c r="G7" s="838"/>
      <c r="H7" s="839"/>
    </row>
    <row r="8" spans="1:10" s="4" customFormat="1" ht="32.25" customHeight="1" thickBot="1" x14ac:dyDescent="0.25">
      <c r="A8" s="41"/>
      <c r="B8" s="26"/>
      <c r="C8" s="52"/>
      <c r="D8" s="46"/>
      <c r="E8" s="47"/>
      <c r="F8" s="26"/>
      <c r="G8" s="26"/>
      <c r="H8" s="45"/>
      <c r="J8" s="701"/>
    </row>
    <row r="9" spans="1:10" ht="18" customHeight="1" x14ac:dyDescent="0.2">
      <c r="A9" s="34"/>
      <c r="B9" s="702"/>
      <c r="C9" s="702"/>
      <c r="D9" s="702"/>
      <c r="E9" s="703"/>
      <c r="F9" s="702"/>
      <c r="G9" s="702"/>
      <c r="H9" s="704"/>
    </row>
    <row r="10" spans="1:10" ht="18" customHeight="1" x14ac:dyDescent="0.2">
      <c r="A10" s="699"/>
      <c r="B10" s="697"/>
      <c r="C10" s="697"/>
      <c r="D10" s="697"/>
      <c r="E10" s="705"/>
      <c r="F10" s="697"/>
      <c r="G10" s="706"/>
      <c r="H10" s="698"/>
    </row>
    <row r="11" spans="1:10" ht="18" customHeight="1" x14ac:dyDescent="0.2">
      <c r="A11" s="699"/>
      <c r="B11" s="697"/>
      <c r="C11" s="697"/>
      <c r="D11" s="697"/>
      <c r="E11" s="705"/>
      <c r="F11" s="697"/>
      <c r="G11" s="706"/>
      <c r="H11" s="698"/>
    </row>
    <row r="12" spans="1:10" ht="18" customHeight="1" x14ac:dyDescent="0.2">
      <c r="A12" s="699"/>
      <c r="B12" s="697"/>
      <c r="C12" s="697"/>
      <c r="D12" s="697">
        <f>D16-(D13+D14+D15)</f>
        <v>22.799999999999983</v>
      </c>
      <c r="E12" s="705"/>
      <c r="F12" s="697"/>
      <c r="G12" s="706"/>
      <c r="H12" s="698"/>
    </row>
    <row r="13" spans="1:10" ht="18" customHeight="1" x14ac:dyDescent="0.2">
      <c r="A13" s="699"/>
      <c r="B13" s="697"/>
      <c r="C13" s="697"/>
      <c r="D13" s="697">
        <v>13.4</v>
      </c>
      <c r="E13" s="705">
        <f>D13/D16</f>
        <v>0.11744084136722174</v>
      </c>
      <c r="F13" s="697"/>
      <c r="G13" s="706"/>
      <c r="H13" s="698"/>
    </row>
    <row r="14" spans="1:10" ht="18" customHeight="1" x14ac:dyDescent="0.2">
      <c r="A14" s="699"/>
      <c r="B14" s="697"/>
      <c r="C14" s="697"/>
      <c r="D14" s="697">
        <v>31.8</v>
      </c>
      <c r="E14" s="705">
        <f>D14/D16</f>
        <v>0.27870289219982475</v>
      </c>
      <c r="F14" s="697"/>
      <c r="G14" s="706"/>
      <c r="H14" s="698"/>
    </row>
    <row r="15" spans="1:10" ht="18" customHeight="1" x14ac:dyDescent="0.2">
      <c r="A15" s="699"/>
      <c r="B15" s="697"/>
      <c r="C15" s="697"/>
      <c r="D15" s="697">
        <v>46.1</v>
      </c>
      <c r="E15" s="705">
        <f>D15/D16</f>
        <v>0.40403155127081508</v>
      </c>
      <c r="F15" s="697"/>
      <c r="G15" s="706"/>
      <c r="H15" s="698"/>
    </row>
    <row r="16" spans="1:10" ht="18" customHeight="1" x14ac:dyDescent="0.2">
      <c r="A16" s="699"/>
      <c r="B16" s="697"/>
      <c r="C16" s="697"/>
      <c r="D16" s="697">
        <v>114.1</v>
      </c>
      <c r="E16" s="705"/>
      <c r="F16" s="697"/>
      <c r="G16" s="706"/>
      <c r="H16" s="698"/>
    </row>
    <row r="17" spans="1:7" ht="18" customHeight="1" x14ac:dyDescent="0.2">
      <c r="A17" s="699"/>
      <c r="B17" s="697"/>
      <c r="C17" s="697"/>
      <c r="D17" s="697"/>
      <c r="E17" s="705"/>
      <c r="F17" s="697"/>
      <c r="G17" s="706"/>
    </row>
    <row r="18" spans="1:7" ht="18" customHeight="1" x14ac:dyDescent="0.2">
      <c r="A18" s="699"/>
      <c r="B18" s="697"/>
      <c r="C18" s="697"/>
      <c r="D18" s="697">
        <f>979-2800</f>
        <v>-1821</v>
      </c>
      <c r="E18" s="705"/>
      <c r="F18" s="697"/>
      <c r="G18" s="706"/>
    </row>
    <row r="19" spans="1:7" ht="18" customHeight="1" x14ac:dyDescent="0.2">
      <c r="A19" s="699"/>
      <c r="B19" s="697"/>
      <c r="C19" s="697"/>
      <c r="D19" s="698">
        <f>1821/2800</f>
        <v>0.65035714285714286</v>
      </c>
      <c r="E19" s="705"/>
      <c r="F19" s="697"/>
      <c r="G19" s="706"/>
    </row>
    <row r="20" spans="1:7" ht="18" customHeight="1" x14ac:dyDescent="0.2">
      <c r="A20" s="707"/>
      <c r="B20" s="697"/>
      <c r="C20" s="697"/>
      <c r="D20" s="697"/>
      <c r="E20" s="705"/>
      <c r="F20" s="697"/>
      <c r="G20" s="706"/>
    </row>
    <row r="21" spans="1:7" ht="18" customHeight="1" x14ac:dyDescent="0.2">
      <c r="A21" s="699"/>
      <c r="B21" s="697"/>
      <c r="C21" s="697"/>
      <c r="D21" s="697"/>
      <c r="E21" s="705"/>
      <c r="F21" s="697"/>
      <c r="G21" s="706"/>
    </row>
    <row r="22" spans="1:7" ht="18" customHeight="1" x14ac:dyDescent="0.2">
      <c r="A22" s="699"/>
      <c r="B22" s="697"/>
      <c r="C22" s="697"/>
      <c r="D22" s="697"/>
      <c r="E22" s="708"/>
      <c r="F22" s="697"/>
      <c r="G22" s="706"/>
    </row>
    <row r="23" spans="1:7" ht="18" customHeight="1" x14ac:dyDescent="0.2">
      <c r="A23" s="707"/>
      <c r="B23" s="697"/>
      <c r="C23" s="697"/>
      <c r="D23" s="697"/>
      <c r="E23" s="705"/>
      <c r="F23" s="697"/>
      <c r="G23" s="706"/>
    </row>
    <row r="24" spans="1:7" ht="18" customHeight="1" x14ac:dyDescent="0.2">
      <c r="A24" s="707"/>
      <c r="B24" s="697"/>
      <c r="C24" s="697"/>
      <c r="D24" s="697"/>
      <c r="E24" s="705"/>
      <c r="F24" s="697"/>
      <c r="G24" s="706"/>
    </row>
    <row r="25" spans="1:7" ht="18" customHeight="1" x14ac:dyDescent="0.2">
      <c r="A25" s="707"/>
      <c r="B25" s="697"/>
      <c r="C25" s="697"/>
      <c r="D25" s="697"/>
      <c r="E25" s="705"/>
      <c r="F25" s="697"/>
      <c r="G25" s="706"/>
    </row>
    <row r="26" spans="1:7" ht="18" customHeight="1" x14ac:dyDescent="0.2">
      <c r="A26" s="699"/>
      <c r="B26" s="697"/>
      <c r="C26" s="697"/>
      <c r="D26" s="697"/>
      <c r="E26" s="705"/>
      <c r="F26" s="697"/>
      <c r="G26" s="706"/>
    </row>
    <row r="27" spans="1:7" ht="18" customHeight="1" x14ac:dyDescent="0.2">
      <c r="A27" s="699"/>
      <c r="B27" s="697"/>
      <c r="C27" s="697"/>
      <c r="D27" s="697"/>
      <c r="E27" s="705"/>
      <c r="F27" s="697"/>
      <c r="G27" s="706"/>
    </row>
    <row r="28" spans="1:7" ht="18" customHeight="1" x14ac:dyDescent="0.2">
      <c r="A28" s="699"/>
      <c r="B28" s="697"/>
      <c r="C28" s="697"/>
      <c r="D28" s="697"/>
      <c r="E28" s="705"/>
      <c r="F28" s="697"/>
      <c r="G28" s="706"/>
    </row>
    <row r="29" spans="1:7" ht="18" customHeight="1" x14ac:dyDescent="0.2">
      <c r="A29" s="699"/>
      <c r="B29" s="697"/>
      <c r="C29" s="697"/>
      <c r="D29" s="697"/>
      <c r="E29" s="705"/>
      <c r="F29" s="697"/>
      <c r="G29" s="706"/>
    </row>
    <row r="30" spans="1:7" ht="18" customHeight="1" x14ac:dyDescent="0.2">
      <c r="A30" s="699"/>
      <c r="B30" s="697"/>
      <c r="C30" s="697"/>
      <c r="D30" s="697"/>
      <c r="E30" s="705"/>
      <c r="F30" s="697"/>
      <c r="G30" s="706"/>
    </row>
    <row r="31" spans="1:7" ht="18" customHeight="1" x14ac:dyDescent="0.2">
      <c r="A31" s="699"/>
      <c r="B31" s="697"/>
      <c r="C31" s="697"/>
      <c r="D31" s="697"/>
      <c r="E31" s="705"/>
      <c r="F31" s="697"/>
      <c r="G31" s="706"/>
    </row>
    <row r="32" spans="1:7" ht="18" customHeight="1" x14ac:dyDescent="0.2">
      <c r="A32" s="699"/>
      <c r="B32" s="697"/>
      <c r="C32" s="697"/>
      <c r="D32" s="697"/>
      <c r="E32" s="705"/>
      <c r="F32" s="697"/>
      <c r="G32" s="706"/>
    </row>
    <row r="33" spans="1:8" ht="18" customHeight="1" x14ac:dyDescent="0.2">
      <c r="A33" s="699"/>
      <c r="B33" s="697"/>
      <c r="C33" s="697"/>
      <c r="D33" s="697"/>
      <c r="E33" s="705"/>
      <c r="F33" s="709"/>
      <c r="G33" s="706"/>
      <c r="H33" s="698"/>
    </row>
    <row r="34" spans="1:8" s="4" customFormat="1" ht="18" customHeight="1" thickBot="1" x14ac:dyDescent="0.25">
      <c r="A34" s="710"/>
      <c r="B34" s="711"/>
      <c r="C34" s="711"/>
      <c r="D34" s="711"/>
      <c r="E34" s="712"/>
      <c r="F34" s="711"/>
      <c r="G34" s="713"/>
      <c r="H34" s="714"/>
    </row>
    <row r="35" spans="1:8" ht="18" customHeight="1" x14ac:dyDescent="0.2">
      <c r="A35" s="27"/>
      <c r="B35" s="10"/>
      <c r="C35" s="10"/>
      <c r="D35" s="697"/>
      <c r="E35" s="705"/>
      <c r="F35" s="10"/>
      <c r="G35" s="706"/>
      <c r="H35" s="698"/>
    </row>
    <row r="36" spans="1:8" ht="18" customHeight="1" x14ac:dyDescent="0.2">
      <c r="A36" s="27"/>
      <c r="B36" s="10"/>
      <c r="C36" s="10"/>
      <c r="D36" s="697"/>
      <c r="E36" s="42"/>
      <c r="F36" s="10"/>
      <c r="G36" s="706"/>
      <c r="H36" s="698"/>
    </row>
    <row r="37" spans="1:8" ht="18" customHeight="1" x14ac:dyDescent="0.2">
      <c r="A37" s="28"/>
      <c r="B37" s="10"/>
      <c r="C37" s="10"/>
      <c r="D37" s="697"/>
      <c r="E37" s="42"/>
      <c r="F37" s="10"/>
      <c r="G37" s="706"/>
      <c r="H37" s="698"/>
    </row>
    <row r="38" spans="1:8" ht="18" customHeight="1" x14ac:dyDescent="0.2">
      <c r="A38" s="28"/>
      <c r="B38" s="10"/>
      <c r="C38" s="10"/>
      <c r="D38" s="697"/>
      <c r="E38" s="705"/>
      <c r="F38" s="10"/>
      <c r="G38" s="706"/>
      <c r="H38" s="698"/>
    </row>
    <row r="39" spans="1:8" ht="18" customHeight="1" x14ac:dyDescent="0.2">
      <c r="A39" s="28"/>
      <c r="B39" s="10"/>
      <c r="C39" s="10"/>
      <c r="D39" s="697"/>
      <c r="E39" s="705"/>
      <c r="F39" s="10"/>
      <c r="G39" s="706"/>
      <c r="H39" s="698"/>
    </row>
    <row r="40" spans="1:8" ht="18" customHeight="1" x14ac:dyDescent="0.2">
      <c r="A40" s="28"/>
      <c r="B40" s="697"/>
      <c r="C40" s="697"/>
      <c r="D40" s="697"/>
      <c r="F40" s="697"/>
      <c r="G40" s="706"/>
      <c r="H40" s="698"/>
    </row>
    <row r="41" spans="1:8" ht="18" customHeight="1" x14ac:dyDescent="0.2">
      <c r="A41" s="28"/>
      <c r="B41" s="697"/>
      <c r="C41" s="697"/>
      <c r="D41" s="697"/>
      <c r="E41" s="705"/>
      <c r="F41" s="697"/>
      <c r="G41" s="706"/>
      <c r="H41" s="698"/>
    </row>
    <row r="42" spans="1:8" s="49" customFormat="1" ht="18" customHeight="1" thickBot="1" x14ac:dyDescent="0.25">
      <c r="A42" s="48"/>
      <c r="B42" s="715"/>
      <c r="C42" s="715"/>
      <c r="D42" s="715"/>
      <c r="E42" s="716"/>
      <c r="F42" s="715"/>
      <c r="G42" s="717"/>
      <c r="H42" s="718"/>
    </row>
    <row r="43" spans="1:8" ht="18" customHeight="1" x14ac:dyDescent="0.2">
      <c r="A43" s="719"/>
      <c r="B43" s="697"/>
      <c r="C43" s="697"/>
      <c r="D43" s="697"/>
      <c r="E43" s="705"/>
      <c r="F43" s="697"/>
      <c r="G43" s="706"/>
      <c r="H43" s="698"/>
    </row>
    <row r="44" spans="1:8" ht="18" customHeight="1" x14ac:dyDescent="0.2">
      <c r="A44" s="719"/>
      <c r="B44" s="697"/>
      <c r="C44" s="697"/>
      <c r="D44" s="697"/>
      <c r="E44" s="705"/>
      <c r="F44" s="697"/>
      <c r="G44" s="706"/>
      <c r="H44" s="698"/>
    </row>
    <row r="45" spans="1:8" ht="18" customHeight="1" x14ac:dyDescent="0.2">
      <c r="A45" s="719"/>
      <c r="B45" s="697"/>
      <c r="C45" s="697"/>
      <c r="D45" s="697"/>
      <c r="E45" s="705"/>
      <c r="F45" s="697"/>
      <c r="G45" s="706"/>
      <c r="H45" s="698"/>
    </row>
    <row r="46" spans="1:8" ht="18" customHeight="1" x14ac:dyDescent="0.2">
      <c r="A46" s="719"/>
      <c r="B46" s="697"/>
      <c r="C46" s="697"/>
      <c r="D46" s="697"/>
      <c r="E46" s="705"/>
      <c r="F46" s="697"/>
      <c r="G46" s="706"/>
      <c r="H46" s="698"/>
    </row>
    <row r="47" spans="1:8" ht="18" customHeight="1" x14ac:dyDescent="0.2">
      <c r="A47" s="719"/>
      <c r="B47" s="697"/>
      <c r="C47" s="697"/>
      <c r="D47" s="697"/>
      <c r="E47" s="705"/>
      <c r="F47" s="697"/>
      <c r="G47" s="706"/>
      <c r="H47" s="698"/>
    </row>
    <row r="48" spans="1:8" ht="18" customHeight="1" x14ac:dyDescent="0.2">
      <c r="A48" s="719"/>
      <c r="B48" s="697"/>
      <c r="C48" s="697"/>
      <c r="D48" s="697"/>
      <c r="E48" s="705"/>
      <c r="F48" s="697"/>
      <c r="G48" s="706"/>
      <c r="H48" s="698"/>
    </row>
    <row r="49" spans="1:8" ht="18" customHeight="1" x14ac:dyDescent="0.2">
      <c r="A49" s="719"/>
      <c r="B49" s="697"/>
      <c r="C49" s="697"/>
      <c r="D49" s="697"/>
      <c r="E49" s="705"/>
      <c r="F49" s="697"/>
      <c r="G49" s="706"/>
      <c r="H49" s="698"/>
    </row>
    <row r="50" spans="1:8" ht="18" customHeight="1" x14ac:dyDescent="0.2">
      <c r="A50" s="719"/>
      <c r="B50" s="697"/>
      <c r="C50" s="697"/>
      <c r="D50" s="697"/>
      <c r="E50" s="705"/>
      <c r="F50" s="697"/>
      <c r="G50" s="706"/>
      <c r="H50" s="698"/>
    </row>
    <row r="51" spans="1:8" ht="18" customHeight="1" x14ac:dyDescent="0.2">
      <c r="A51" s="719"/>
      <c r="B51" s="697"/>
      <c r="C51" s="697"/>
      <c r="D51" s="697"/>
      <c r="E51" s="705"/>
      <c r="F51" s="697"/>
      <c r="G51" s="706"/>
      <c r="H51" s="698"/>
    </row>
    <row r="52" spans="1:8" ht="18" customHeight="1" x14ac:dyDescent="0.2">
      <c r="A52" s="699"/>
      <c r="B52" s="697"/>
      <c r="C52" s="697"/>
      <c r="D52" s="697"/>
      <c r="E52" s="705"/>
      <c r="F52" s="697"/>
      <c r="G52" s="706"/>
      <c r="H52" s="698"/>
    </row>
    <row r="53" spans="1:8" ht="18" customHeight="1" x14ac:dyDescent="0.2">
      <c r="A53" s="699"/>
      <c r="B53" s="697"/>
      <c r="C53" s="697"/>
      <c r="D53" s="697"/>
      <c r="E53" s="705"/>
      <c r="F53" s="697"/>
      <c r="G53" s="706"/>
      <c r="H53" s="698"/>
    </row>
    <row r="54" spans="1:8" ht="18" customHeight="1" x14ac:dyDescent="0.2">
      <c r="A54" s="720"/>
      <c r="B54" s="697"/>
      <c r="C54" s="697"/>
      <c r="D54" s="697"/>
      <c r="E54" s="705"/>
      <c r="F54" s="697"/>
      <c r="G54" s="706"/>
      <c r="H54" s="698"/>
    </row>
    <row r="55" spans="1:8" ht="18" customHeight="1" x14ac:dyDescent="0.2">
      <c r="A55" s="720"/>
      <c r="B55" s="697"/>
      <c r="C55" s="697"/>
      <c r="D55" s="697"/>
      <c r="E55" s="705"/>
      <c r="F55" s="697"/>
      <c r="G55" s="706"/>
      <c r="H55" s="698"/>
    </row>
    <row r="56" spans="1:8" ht="18" customHeight="1" x14ac:dyDescent="0.2">
      <c r="A56" s="720"/>
      <c r="B56" s="697"/>
      <c r="C56" s="697"/>
      <c r="D56" s="697"/>
      <c r="E56" s="705"/>
      <c r="F56" s="697"/>
      <c r="G56" s="706"/>
      <c r="H56" s="698"/>
    </row>
    <row r="57" spans="1:8" ht="18" customHeight="1" x14ac:dyDescent="0.2">
      <c r="A57" s="720"/>
      <c r="B57" s="697"/>
      <c r="C57" s="697"/>
      <c r="D57" s="697"/>
      <c r="E57" s="705"/>
      <c r="F57" s="697"/>
      <c r="G57" s="706"/>
      <c r="H57" s="698"/>
    </row>
    <row r="58" spans="1:8" ht="18" customHeight="1" x14ac:dyDescent="0.2">
      <c r="A58" s="720"/>
      <c r="B58" s="697"/>
      <c r="C58" s="697"/>
      <c r="D58" s="697"/>
      <c r="E58" s="705"/>
      <c r="F58" s="697"/>
      <c r="G58" s="706"/>
      <c r="H58" s="698"/>
    </row>
    <row r="59" spans="1:8" ht="18" customHeight="1" x14ac:dyDescent="0.2">
      <c r="A59" s="720"/>
      <c r="B59" s="697"/>
      <c r="C59" s="697"/>
      <c r="D59" s="697"/>
      <c r="E59" s="705"/>
      <c r="F59" s="697"/>
      <c r="G59" s="706"/>
      <c r="H59" s="698"/>
    </row>
    <row r="60" spans="1:8" ht="18" customHeight="1" x14ac:dyDescent="0.2">
      <c r="A60" s="720"/>
      <c r="B60" s="697"/>
      <c r="C60" s="697"/>
      <c r="D60" s="697"/>
      <c r="E60" s="705"/>
      <c r="F60" s="697"/>
      <c r="G60" s="706"/>
      <c r="H60" s="698"/>
    </row>
    <row r="61" spans="1:8" s="4" customFormat="1" ht="18" customHeight="1" thickBot="1" x14ac:dyDescent="0.25">
      <c r="A61" s="701"/>
      <c r="B61" s="711"/>
      <c r="C61" s="711"/>
      <c r="D61" s="711"/>
      <c r="E61" s="721"/>
      <c r="F61" s="711"/>
      <c r="G61" s="713"/>
      <c r="H61" s="714"/>
    </row>
    <row r="62" spans="1:8" ht="18" customHeight="1" x14ac:dyDescent="0.2">
      <c r="A62" s="27"/>
      <c r="B62" s="10"/>
      <c r="C62" s="10"/>
      <c r="D62" s="697"/>
      <c r="E62" s="705"/>
      <c r="F62" s="10"/>
      <c r="G62" s="706"/>
      <c r="H62" s="698"/>
    </row>
    <row r="63" spans="1:8" ht="18" customHeight="1" x14ac:dyDescent="0.2">
      <c r="A63" s="27"/>
      <c r="B63" s="10"/>
      <c r="C63" s="10"/>
      <c r="D63" s="697"/>
      <c r="E63" s="42"/>
      <c r="F63" s="10"/>
      <c r="G63" s="706"/>
      <c r="H63" s="698"/>
    </row>
    <row r="64" spans="1:8" ht="18" customHeight="1" x14ac:dyDescent="0.2">
      <c r="A64" s="28"/>
      <c r="B64" s="10"/>
      <c r="C64" s="10"/>
      <c r="D64" s="697"/>
      <c r="E64" s="705"/>
      <c r="F64" s="10"/>
      <c r="G64" s="706"/>
      <c r="H64" s="698"/>
    </row>
    <row r="65" spans="1:8" ht="18" customHeight="1" x14ac:dyDescent="0.2">
      <c r="A65" s="28"/>
      <c r="B65" s="10"/>
      <c r="C65" s="10"/>
      <c r="D65" s="697"/>
      <c r="F65" s="10"/>
      <c r="G65" s="706"/>
      <c r="H65" s="698"/>
    </row>
    <row r="66" spans="1:8" ht="18" customHeight="1" x14ac:dyDescent="0.2">
      <c r="A66" s="28"/>
      <c r="B66" s="10"/>
      <c r="C66" s="10"/>
      <c r="D66" s="697"/>
      <c r="E66" s="705"/>
      <c r="F66" s="10"/>
      <c r="G66" s="706"/>
      <c r="H66" s="698"/>
    </row>
    <row r="67" spans="1:8" ht="18" customHeight="1" x14ac:dyDescent="0.2">
      <c r="A67" s="28"/>
      <c r="B67" s="10"/>
      <c r="C67" s="10"/>
      <c r="D67" s="697"/>
      <c r="E67" s="705"/>
      <c r="F67" s="10"/>
      <c r="G67" s="706"/>
      <c r="H67" s="698"/>
    </row>
    <row r="68" spans="1:8" ht="18" customHeight="1" x14ac:dyDescent="0.2">
      <c r="A68" s="28"/>
      <c r="B68" s="10"/>
      <c r="C68" s="10"/>
      <c r="D68" s="697"/>
      <c r="E68" s="708"/>
      <c r="F68" s="10"/>
      <c r="G68" s="706"/>
      <c r="H68" s="698"/>
    </row>
    <row r="69" spans="1:8" ht="18" customHeight="1" x14ac:dyDescent="0.2">
      <c r="A69" s="28"/>
      <c r="B69" s="697"/>
      <c r="C69" s="697"/>
      <c r="D69" s="697"/>
      <c r="E69" s="705"/>
      <c r="F69" s="697"/>
      <c r="G69" s="706"/>
      <c r="H69" s="698"/>
    </row>
    <row r="70" spans="1:8" s="49" customFormat="1" ht="18" customHeight="1" thickBot="1" x14ac:dyDescent="0.25">
      <c r="A70" s="48"/>
      <c r="B70" s="715"/>
      <c r="C70" s="715"/>
      <c r="D70" s="715"/>
      <c r="E70" s="716"/>
      <c r="F70" s="715"/>
      <c r="G70" s="717"/>
      <c r="H70" s="718"/>
    </row>
    <row r="71" spans="1:8" ht="18" customHeight="1" x14ac:dyDescent="0.2">
      <c r="A71" s="722"/>
      <c r="B71" s="697"/>
      <c r="C71" s="697"/>
      <c r="D71" s="697"/>
      <c r="E71" s="705"/>
      <c r="F71" s="697"/>
      <c r="G71" s="706"/>
      <c r="H71" s="698"/>
    </row>
    <row r="72" spans="1:8" ht="18" customHeight="1" x14ac:dyDescent="0.2">
      <c r="A72" s="722"/>
      <c r="B72" s="697"/>
      <c r="C72" s="697"/>
      <c r="D72" s="697"/>
      <c r="E72" s="705"/>
      <c r="F72" s="697"/>
      <c r="G72" s="706"/>
      <c r="H72" s="698"/>
    </row>
    <row r="73" spans="1:8" ht="18" customHeight="1" x14ac:dyDescent="0.2">
      <c r="A73" s="719"/>
      <c r="B73" s="697"/>
      <c r="C73" s="697"/>
      <c r="D73" s="697"/>
      <c r="E73" s="705"/>
      <c r="F73" s="697"/>
      <c r="G73" s="706"/>
      <c r="H73" s="698"/>
    </row>
    <row r="74" spans="1:8" ht="18" customHeight="1" x14ac:dyDescent="0.2">
      <c r="A74" s="719"/>
      <c r="B74" s="697"/>
      <c r="C74" s="697"/>
      <c r="D74" s="697"/>
      <c r="E74" s="705"/>
      <c r="F74" s="697"/>
      <c r="G74" s="706"/>
      <c r="H74" s="698"/>
    </row>
    <row r="75" spans="1:8" ht="18" customHeight="1" x14ac:dyDescent="0.2">
      <c r="A75" s="722"/>
      <c r="B75" s="697"/>
      <c r="C75" s="697"/>
      <c r="D75" s="697"/>
      <c r="E75" s="705"/>
      <c r="F75" s="697"/>
      <c r="G75" s="706"/>
      <c r="H75" s="698"/>
    </row>
    <row r="76" spans="1:8" ht="18" customHeight="1" x14ac:dyDescent="0.2">
      <c r="A76" s="722"/>
      <c r="B76" s="697"/>
      <c r="C76" s="697"/>
      <c r="D76" s="697"/>
      <c r="E76" s="705"/>
      <c r="F76" s="697"/>
      <c r="G76" s="706"/>
      <c r="H76" s="698"/>
    </row>
    <row r="77" spans="1:8" ht="18" customHeight="1" x14ac:dyDescent="0.2">
      <c r="A77" s="722"/>
      <c r="B77" s="697"/>
      <c r="C77" s="697"/>
      <c r="D77" s="697"/>
      <c r="E77" s="705"/>
      <c r="F77" s="697"/>
      <c r="G77" s="706"/>
      <c r="H77" s="698"/>
    </row>
    <row r="78" spans="1:8" ht="18" customHeight="1" x14ac:dyDescent="0.2">
      <c r="A78" s="722"/>
      <c r="B78" s="697"/>
      <c r="C78" s="697"/>
      <c r="D78" s="697"/>
      <c r="E78" s="705"/>
      <c r="F78" s="697"/>
      <c r="G78" s="706"/>
      <c r="H78" s="698"/>
    </row>
    <row r="79" spans="1:8" ht="18" customHeight="1" x14ac:dyDescent="0.2">
      <c r="A79" s="722"/>
      <c r="B79" s="697"/>
      <c r="C79" s="697"/>
      <c r="D79" s="697"/>
      <c r="E79" s="705"/>
      <c r="F79" s="697"/>
      <c r="G79" s="706"/>
      <c r="H79" s="698"/>
    </row>
    <row r="80" spans="1:8" ht="18" customHeight="1" x14ac:dyDescent="0.2">
      <c r="A80" s="719"/>
      <c r="B80" s="697"/>
      <c r="C80" s="697"/>
      <c r="D80" s="697"/>
      <c r="E80" s="705"/>
      <c r="F80" s="697"/>
      <c r="G80" s="706"/>
      <c r="H80" s="698"/>
    </row>
    <row r="81" spans="1:8" ht="18" customHeight="1" x14ac:dyDescent="0.2">
      <c r="A81" s="719"/>
      <c r="B81" s="697"/>
      <c r="C81" s="697"/>
      <c r="D81" s="697"/>
      <c r="E81" s="705"/>
      <c r="F81" s="697"/>
      <c r="G81" s="706"/>
      <c r="H81" s="698"/>
    </row>
    <row r="82" spans="1:8" ht="18" customHeight="1" x14ac:dyDescent="0.2">
      <c r="A82" s="719"/>
      <c r="B82" s="697"/>
      <c r="C82" s="697"/>
      <c r="D82" s="697"/>
      <c r="E82" s="705"/>
      <c r="F82" s="697"/>
      <c r="G82" s="706"/>
      <c r="H82" s="698"/>
    </row>
    <row r="83" spans="1:8" ht="18" customHeight="1" x14ac:dyDescent="0.2">
      <c r="A83" s="719"/>
      <c r="B83" s="697"/>
      <c r="C83" s="697"/>
      <c r="D83" s="697"/>
      <c r="E83" s="708"/>
      <c r="F83" s="697"/>
      <c r="G83" s="706"/>
      <c r="H83" s="698"/>
    </row>
    <row r="84" spans="1:8" ht="18" customHeight="1" x14ac:dyDescent="0.2">
      <c r="A84" s="719"/>
      <c r="B84" s="697"/>
      <c r="C84" s="697"/>
      <c r="D84" s="697"/>
      <c r="E84" s="705"/>
      <c r="F84" s="697"/>
      <c r="G84" s="706"/>
      <c r="H84" s="698"/>
    </row>
    <row r="85" spans="1:8" ht="18" customHeight="1" x14ac:dyDescent="0.2">
      <c r="A85" s="719"/>
      <c r="B85" s="697"/>
      <c r="C85" s="697"/>
      <c r="D85" s="697"/>
      <c r="E85" s="705"/>
      <c r="F85" s="697"/>
      <c r="G85" s="706"/>
      <c r="H85" s="698"/>
    </row>
    <row r="86" spans="1:8" ht="18" customHeight="1" x14ac:dyDescent="0.2">
      <c r="A86" s="719"/>
      <c r="B86" s="697"/>
      <c r="C86" s="697"/>
      <c r="D86" s="697"/>
      <c r="E86" s="705"/>
      <c r="F86" s="697"/>
      <c r="G86" s="706"/>
      <c r="H86" s="698"/>
    </row>
    <row r="87" spans="1:8" ht="18" customHeight="1" x14ac:dyDescent="0.2">
      <c r="A87" s="719"/>
      <c r="B87" s="697"/>
      <c r="C87" s="697"/>
      <c r="D87" s="697"/>
      <c r="E87" s="705"/>
      <c r="F87" s="697"/>
      <c r="G87" s="706"/>
      <c r="H87" s="698"/>
    </row>
    <row r="88" spans="1:8" ht="18" customHeight="1" x14ac:dyDescent="0.2">
      <c r="A88" s="699"/>
      <c r="B88" s="697"/>
      <c r="C88" s="697"/>
      <c r="D88" s="697"/>
      <c r="E88" s="705"/>
      <c r="F88" s="709"/>
      <c r="G88" s="706"/>
      <c r="H88" s="698"/>
    </row>
    <row r="89" spans="1:8" s="4" customFormat="1" ht="18" customHeight="1" thickBot="1" x14ac:dyDescent="0.25">
      <c r="A89" s="701"/>
      <c r="B89" s="711"/>
      <c r="C89" s="711"/>
      <c r="D89" s="711"/>
      <c r="E89" s="721"/>
      <c r="F89" s="711"/>
      <c r="G89" s="713"/>
      <c r="H89" s="714"/>
    </row>
    <row r="90" spans="1:8" s="11" customFormat="1" ht="18" customHeight="1" x14ac:dyDescent="0.2">
      <c r="A90" s="27"/>
      <c r="B90" s="10"/>
      <c r="C90" s="10"/>
      <c r="D90" s="10"/>
      <c r="E90" s="42"/>
      <c r="F90" s="10"/>
      <c r="G90" s="50"/>
      <c r="H90" s="31"/>
    </row>
    <row r="91" spans="1:8" ht="18" customHeight="1" x14ac:dyDescent="0.2">
      <c r="A91" s="27"/>
      <c r="B91" s="10"/>
      <c r="C91" s="10"/>
      <c r="D91" s="697"/>
      <c r="E91" s="705"/>
      <c r="F91" s="10"/>
      <c r="G91" s="706"/>
      <c r="H91" s="698"/>
    </row>
    <row r="92" spans="1:8" ht="18" customHeight="1" x14ac:dyDescent="0.2">
      <c r="A92" s="28"/>
      <c r="B92" s="10"/>
      <c r="C92" s="10"/>
      <c r="D92" s="697"/>
      <c r="E92" s="705"/>
      <c r="F92" s="10"/>
      <c r="G92" s="706"/>
      <c r="H92" s="698"/>
    </row>
    <row r="93" spans="1:8" ht="18" customHeight="1" x14ac:dyDescent="0.2">
      <c r="A93" s="28"/>
      <c r="B93" s="10"/>
      <c r="C93" s="10"/>
      <c r="D93" s="697"/>
      <c r="E93" s="705"/>
      <c r="F93" s="10"/>
      <c r="G93" s="706"/>
      <c r="H93" s="698"/>
    </row>
    <row r="94" spans="1:8" ht="18" customHeight="1" x14ac:dyDescent="0.2">
      <c r="A94" s="28"/>
      <c r="B94" s="10"/>
      <c r="C94" s="10"/>
      <c r="D94" s="697"/>
      <c r="E94" s="705"/>
      <c r="F94" s="10"/>
      <c r="G94" s="706"/>
      <c r="H94" s="698"/>
    </row>
    <row r="95" spans="1:8" ht="18" customHeight="1" x14ac:dyDescent="0.2">
      <c r="A95" s="29"/>
      <c r="B95" s="697"/>
      <c r="C95" s="697"/>
      <c r="D95" s="697"/>
      <c r="E95" s="705"/>
      <c r="F95" s="697"/>
      <c r="G95" s="706"/>
      <c r="H95" s="698"/>
    </row>
    <row r="96" spans="1:8" ht="18" customHeight="1" x14ac:dyDescent="0.2">
      <c r="A96" s="29"/>
      <c r="B96" s="697"/>
      <c r="C96" s="697"/>
      <c r="D96" s="697"/>
      <c r="E96" s="705"/>
      <c r="F96" s="697"/>
      <c r="G96" s="706"/>
      <c r="H96" s="698"/>
    </row>
    <row r="97" spans="1:8" ht="18" customHeight="1" x14ac:dyDescent="0.2">
      <c r="A97" s="27"/>
      <c r="B97" s="697"/>
      <c r="C97" s="697"/>
      <c r="D97" s="697"/>
      <c r="E97" s="705"/>
      <c r="F97" s="697"/>
      <c r="G97" s="706"/>
      <c r="H97" s="698"/>
    </row>
    <row r="98" spans="1:8" s="49" customFormat="1" ht="18" customHeight="1" thickBot="1" x14ac:dyDescent="0.25">
      <c r="A98" s="48"/>
      <c r="B98" s="715"/>
      <c r="C98" s="715"/>
      <c r="D98" s="715"/>
      <c r="E98" s="716"/>
      <c r="F98" s="715"/>
      <c r="G98" s="717"/>
      <c r="H98" s="718"/>
    </row>
    <row r="99" spans="1:8" ht="18" customHeight="1" x14ac:dyDescent="0.2">
      <c r="A99" s="699"/>
      <c r="B99" s="697"/>
      <c r="C99" s="697"/>
      <c r="D99" s="697"/>
      <c r="E99" s="705"/>
      <c r="F99" s="709"/>
      <c r="G99" s="706"/>
      <c r="H99" s="698"/>
    </row>
    <row r="100" spans="1:8" ht="18" customHeight="1" x14ac:dyDescent="0.2">
      <c r="A100" s="699"/>
      <c r="B100" s="697"/>
      <c r="C100" s="697"/>
      <c r="D100" s="697"/>
      <c r="E100" s="705"/>
      <c r="F100" s="54"/>
      <c r="G100" s="706"/>
      <c r="H100" s="698"/>
    </row>
    <row r="101" spans="1:8" ht="18" customHeight="1" x14ac:dyDescent="0.2">
      <c r="A101" s="699"/>
      <c r="B101" s="697"/>
      <c r="C101" s="697"/>
      <c r="D101" s="697"/>
      <c r="E101" s="705"/>
      <c r="F101" s="697"/>
      <c r="G101" s="706"/>
      <c r="H101" s="708"/>
    </row>
    <row r="102" spans="1:8" ht="18" customHeight="1" x14ac:dyDescent="0.2">
      <c r="A102" s="719"/>
      <c r="B102" s="697"/>
      <c r="C102" s="697"/>
      <c r="D102" s="697"/>
      <c r="E102" s="705"/>
      <c r="F102" s="697"/>
      <c r="G102" s="706"/>
      <c r="H102" s="698"/>
    </row>
    <row r="103" spans="1:8" ht="18" customHeight="1" x14ac:dyDescent="0.2">
      <c r="A103" s="722"/>
      <c r="B103" s="697"/>
      <c r="C103" s="697"/>
      <c r="D103" s="697"/>
      <c r="E103" s="705"/>
      <c r="F103" s="697"/>
      <c r="G103" s="706"/>
      <c r="H103" s="698"/>
    </row>
    <row r="104" spans="1:8" ht="18" customHeight="1" x14ac:dyDescent="0.2">
      <c r="A104" s="722"/>
      <c r="B104" s="697"/>
      <c r="C104" s="697"/>
      <c r="D104" s="697"/>
      <c r="E104" s="705"/>
      <c r="F104" s="697"/>
      <c r="G104" s="706"/>
      <c r="H104" s="698"/>
    </row>
    <row r="105" spans="1:8" ht="18" customHeight="1" x14ac:dyDescent="0.2">
      <c r="A105" s="720"/>
      <c r="B105" s="697"/>
      <c r="C105" s="697"/>
      <c r="D105" s="697"/>
      <c r="E105" s="705"/>
      <c r="F105" s="709"/>
      <c r="G105" s="706"/>
      <c r="H105" s="698"/>
    </row>
    <row r="106" spans="1:8" ht="18" customHeight="1" x14ac:dyDescent="0.2">
      <c r="A106" s="720"/>
      <c r="B106" s="697"/>
      <c r="C106" s="697"/>
      <c r="D106" s="697"/>
      <c r="E106" s="705"/>
      <c r="F106" s="709"/>
      <c r="G106" s="706"/>
      <c r="H106" s="698"/>
    </row>
    <row r="107" spans="1:8" ht="18" customHeight="1" x14ac:dyDescent="0.2">
      <c r="A107" s="720"/>
      <c r="B107" s="697"/>
      <c r="C107" s="697"/>
      <c r="D107" s="697"/>
      <c r="E107" s="705"/>
      <c r="F107" s="697"/>
      <c r="G107" s="706"/>
      <c r="H107" s="698"/>
    </row>
    <row r="108" spans="1:8" ht="18" customHeight="1" x14ac:dyDescent="0.2">
      <c r="A108" s="720"/>
      <c r="B108" s="697"/>
      <c r="C108" s="697"/>
      <c r="D108" s="697"/>
      <c r="E108" s="708"/>
      <c r="F108" s="697"/>
      <c r="G108" s="706"/>
      <c r="H108" s="698"/>
    </row>
    <row r="109" spans="1:8" s="4" customFormat="1" ht="18" customHeight="1" thickBot="1" x14ac:dyDescent="0.25">
      <c r="A109" s="701"/>
      <c r="B109" s="711"/>
      <c r="C109" s="711"/>
      <c r="D109" s="711"/>
      <c r="E109" s="712"/>
      <c r="F109" s="711"/>
      <c r="G109" s="713"/>
      <c r="H109" s="714"/>
    </row>
    <row r="110" spans="1:8" s="11" customFormat="1" ht="18" customHeight="1" x14ac:dyDescent="0.2">
      <c r="A110" s="27"/>
      <c r="B110" s="10"/>
      <c r="C110" s="10"/>
      <c r="D110" s="10"/>
      <c r="E110" s="42"/>
      <c r="F110" s="10"/>
      <c r="G110" s="50"/>
      <c r="H110" s="31"/>
    </row>
    <row r="111" spans="1:8" ht="18" customHeight="1" x14ac:dyDescent="0.2">
      <c r="A111" s="27"/>
      <c r="B111" s="10"/>
      <c r="C111" s="10"/>
      <c r="D111" s="697"/>
      <c r="E111" s="705"/>
      <c r="F111" s="10"/>
      <c r="G111" s="706"/>
      <c r="H111" s="698"/>
    </row>
    <row r="112" spans="1:8" ht="18" customHeight="1" x14ac:dyDescent="0.2">
      <c r="A112" s="28"/>
      <c r="B112" s="697"/>
      <c r="C112" s="697"/>
      <c r="D112" s="697"/>
      <c r="E112" s="705"/>
      <c r="F112" s="697"/>
      <c r="G112" s="706"/>
      <c r="H112" s="698"/>
    </row>
    <row r="113" spans="1:8" ht="18" customHeight="1" x14ac:dyDescent="0.2">
      <c r="A113" s="28"/>
      <c r="B113" s="697"/>
      <c r="C113" s="697"/>
      <c r="D113" s="697"/>
      <c r="E113" s="705"/>
      <c r="F113" s="697"/>
      <c r="G113" s="706"/>
      <c r="H113" s="698"/>
    </row>
    <row r="114" spans="1:8" ht="18" customHeight="1" x14ac:dyDescent="0.2">
      <c r="A114" s="28"/>
      <c r="B114" s="697"/>
      <c r="C114" s="697"/>
      <c r="D114" s="697"/>
      <c r="E114" s="705"/>
      <c r="F114" s="697"/>
      <c r="G114" s="706"/>
      <c r="H114" s="698"/>
    </row>
    <row r="115" spans="1:8" ht="18" customHeight="1" x14ac:dyDescent="0.2">
      <c r="A115" s="28"/>
      <c r="B115" s="697"/>
      <c r="C115" s="697"/>
      <c r="D115" s="697"/>
      <c r="E115" s="705"/>
      <c r="F115" s="697"/>
      <c r="G115" s="706"/>
      <c r="H115" s="698"/>
    </row>
    <row r="116" spans="1:8" ht="18" customHeight="1" x14ac:dyDescent="0.2">
      <c r="A116" s="28"/>
      <c r="B116" s="697"/>
      <c r="C116" s="697"/>
      <c r="D116" s="697"/>
      <c r="E116" s="705"/>
      <c r="F116" s="697"/>
      <c r="G116" s="706"/>
      <c r="H116" s="698"/>
    </row>
    <row r="117" spans="1:8" ht="18" customHeight="1" x14ac:dyDescent="0.2">
      <c r="A117" s="28"/>
      <c r="B117" s="697"/>
      <c r="C117" s="697"/>
      <c r="D117" s="697"/>
      <c r="E117" s="705"/>
      <c r="F117" s="697"/>
      <c r="G117" s="706"/>
      <c r="H117" s="698"/>
    </row>
    <row r="118" spans="1:8" ht="18" customHeight="1" x14ac:dyDescent="0.2">
      <c r="A118" s="28"/>
      <c r="B118" s="697"/>
      <c r="C118" s="697"/>
      <c r="D118" s="697"/>
      <c r="E118" s="705"/>
      <c r="F118" s="697"/>
      <c r="G118" s="706"/>
      <c r="H118" s="698"/>
    </row>
    <row r="119" spans="1:8" ht="18" customHeight="1" x14ac:dyDescent="0.2">
      <c r="A119" s="28"/>
      <c r="B119" s="697"/>
      <c r="C119" s="697"/>
      <c r="D119" s="697"/>
      <c r="E119" s="705"/>
      <c r="F119" s="697"/>
      <c r="G119" s="706"/>
      <c r="H119" s="698"/>
    </row>
    <row r="120" spans="1:8" s="49" customFormat="1" ht="18" customHeight="1" thickBot="1" x14ac:dyDescent="0.25">
      <c r="A120" s="48"/>
      <c r="B120" s="715"/>
      <c r="C120" s="715"/>
      <c r="D120" s="715"/>
      <c r="E120" s="716"/>
      <c r="F120" s="715"/>
      <c r="G120" s="717"/>
      <c r="H120" s="718"/>
    </row>
    <row r="121" spans="1:8" ht="18" customHeight="1" x14ac:dyDescent="0.2">
      <c r="A121" s="719"/>
      <c r="B121" s="697"/>
      <c r="C121" s="697"/>
      <c r="D121" s="697"/>
      <c r="E121" s="705"/>
      <c r="F121" s="697"/>
      <c r="G121" s="706"/>
      <c r="H121" s="698"/>
    </row>
    <row r="122" spans="1:8" ht="18" customHeight="1" x14ac:dyDescent="0.2">
      <c r="A122" s="719"/>
      <c r="B122" s="697"/>
      <c r="C122" s="697"/>
      <c r="D122" s="697"/>
      <c r="E122" s="705"/>
      <c r="F122" s="697"/>
      <c r="G122" s="706"/>
      <c r="H122" s="698"/>
    </row>
    <row r="123" spans="1:8" ht="18" customHeight="1" x14ac:dyDescent="0.2">
      <c r="A123" s="719"/>
      <c r="B123" s="697"/>
      <c r="C123" s="697"/>
      <c r="D123" s="697"/>
      <c r="E123" s="705"/>
      <c r="F123" s="697"/>
      <c r="G123" s="706"/>
      <c r="H123" s="698"/>
    </row>
    <row r="124" spans="1:8" ht="18" customHeight="1" x14ac:dyDescent="0.2">
      <c r="A124" s="719"/>
      <c r="B124" s="697"/>
      <c r="C124" s="697"/>
      <c r="D124" s="697"/>
      <c r="E124" s="705"/>
      <c r="F124" s="697"/>
      <c r="G124" s="706"/>
      <c r="H124" s="698"/>
    </row>
    <row r="125" spans="1:8" ht="18" customHeight="1" x14ac:dyDescent="0.2">
      <c r="A125" s="722"/>
      <c r="B125" s="697"/>
      <c r="C125" s="697"/>
      <c r="D125" s="697"/>
      <c r="E125" s="705"/>
      <c r="F125" s="697"/>
      <c r="G125" s="706"/>
      <c r="H125" s="698"/>
    </row>
    <row r="126" spans="1:8" ht="18" customHeight="1" x14ac:dyDescent="0.2">
      <c r="A126" s="722"/>
      <c r="B126" s="697"/>
      <c r="C126" s="697"/>
      <c r="D126" s="697"/>
      <c r="E126" s="705"/>
      <c r="F126" s="697"/>
      <c r="G126" s="706"/>
      <c r="H126" s="698"/>
    </row>
    <row r="127" spans="1:8" ht="18" customHeight="1" x14ac:dyDescent="0.2">
      <c r="A127" s="722"/>
      <c r="B127" s="697"/>
      <c r="C127" s="697"/>
      <c r="D127" s="697"/>
      <c r="E127" s="705"/>
      <c r="F127" s="697"/>
      <c r="G127" s="706"/>
      <c r="H127" s="698"/>
    </row>
    <row r="128" spans="1:8" ht="18" customHeight="1" x14ac:dyDescent="0.2">
      <c r="A128" s="722"/>
      <c r="B128" s="697"/>
      <c r="C128" s="697"/>
      <c r="D128" s="697"/>
      <c r="E128" s="705"/>
      <c r="F128" s="697"/>
      <c r="G128" s="706"/>
      <c r="H128" s="698"/>
    </row>
    <row r="129" spans="1:8" ht="18" customHeight="1" x14ac:dyDescent="0.2">
      <c r="A129" s="722"/>
      <c r="B129" s="697"/>
      <c r="C129" s="697"/>
      <c r="D129" s="697"/>
      <c r="E129" s="705"/>
      <c r="F129" s="697"/>
      <c r="G129" s="706"/>
      <c r="H129" s="698"/>
    </row>
    <row r="130" spans="1:8" ht="18" customHeight="1" x14ac:dyDescent="0.2">
      <c r="A130" s="722"/>
      <c r="B130" s="697"/>
      <c r="C130" s="697"/>
      <c r="D130" s="697"/>
      <c r="E130" s="705"/>
      <c r="F130" s="697"/>
      <c r="G130" s="706"/>
      <c r="H130" s="698"/>
    </row>
    <row r="131" spans="1:8" ht="18" customHeight="1" x14ac:dyDescent="0.2">
      <c r="A131" s="722"/>
      <c r="B131" s="697"/>
      <c r="C131" s="697"/>
      <c r="D131" s="697"/>
      <c r="E131" s="705"/>
      <c r="F131" s="697"/>
      <c r="G131" s="706"/>
      <c r="H131" s="698"/>
    </row>
    <row r="132" spans="1:8" ht="18" customHeight="1" x14ac:dyDescent="0.2">
      <c r="A132" s="722"/>
      <c r="B132" s="697"/>
      <c r="C132" s="697"/>
      <c r="D132" s="697"/>
      <c r="E132" s="705"/>
      <c r="F132" s="697"/>
      <c r="G132" s="706"/>
      <c r="H132" s="698"/>
    </row>
    <row r="133" spans="1:8" ht="18" customHeight="1" x14ac:dyDescent="0.2">
      <c r="A133" s="722"/>
      <c r="B133" s="697"/>
      <c r="C133" s="697"/>
      <c r="D133" s="697"/>
      <c r="E133" s="705"/>
      <c r="F133" s="697"/>
      <c r="G133" s="706"/>
      <c r="H133" s="698"/>
    </row>
    <row r="134" spans="1:8" ht="18" customHeight="1" x14ac:dyDescent="0.2">
      <c r="A134" s="720"/>
      <c r="B134" s="697"/>
      <c r="C134" s="697"/>
      <c r="D134" s="697"/>
      <c r="E134" s="705"/>
      <c r="F134" s="697"/>
      <c r="G134" s="706"/>
      <c r="H134" s="698"/>
    </row>
    <row r="135" spans="1:8" ht="18" customHeight="1" x14ac:dyDescent="0.2">
      <c r="A135" s="720"/>
      <c r="B135" s="697"/>
      <c r="C135" s="697"/>
      <c r="D135" s="697"/>
      <c r="E135" s="705"/>
      <c r="F135" s="697"/>
      <c r="G135" s="706"/>
      <c r="H135" s="698"/>
    </row>
    <row r="136" spans="1:8" s="4" customFormat="1" ht="18" customHeight="1" thickBot="1" x14ac:dyDescent="0.25">
      <c r="A136" s="701"/>
      <c r="B136" s="711"/>
      <c r="C136" s="711"/>
      <c r="D136" s="711"/>
      <c r="E136" s="721"/>
      <c r="F136" s="711"/>
      <c r="G136" s="713"/>
      <c r="H136" s="714"/>
    </row>
    <row r="137" spans="1:8" s="11" customFormat="1" ht="18" customHeight="1" x14ac:dyDescent="0.2">
      <c r="A137" s="27"/>
      <c r="B137" s="10"/>
      <c r="C137" s="10"/>
      <c r="D137" s="10"/>
      <c r="E137" s="42"/>
      <c r="F137" s="10"/>
      <c r="G137" s="50"/>
      <c r="H137" s="31"/>
    </row>
    <row r="138" spans="1:8" ht="18" customHeight="1" x14ac:dyDescent="0.2">
      <c r="A138" s="27"/>
      <c r="B138" s="10"/>
      <c r="C138" s="10"/>
      <c r="D138" s="697"/>
      <c r="E138" s="705"/>
      <c r="F138" s="10"/>
      <c r="G138" s="706"/>
      <c r="H138" s="698"/>
    </row>
    <row r="139" spans="1:8" ht="18" customHeight="1" x14ac:dyDescent="0.2">
      <c r="A139" s="28"/>
      <c r="B139" s="10"/>
      <c r="C139" s="10"/>
      <c r="D139" s="697"/>
      <c r="E139" s="705"/>
      <c r="F139" s="10"/>
      <c r="G139" s="706"/>
      <c r="H139" s="698"/>
    </row>
    <row r="140" spans="1:8" ht="18" customHeight="1" x14ac:dyDescent="0.2">
      <c r="A140" s="28"/>
      <c r="B140" s="10"/>
      <c r="C140" s="10"/>
      <c r="D140" s="697"/>
      <c r="E140" s="705"/>
      <c r="F140" s="10"/>
      <c r="G140" s="706"/>
      <c r="H140" s="698"/>
    </row>
    <row r="141" spans="1:8" ht="18" customHeight="1" x14ac:dyDescent="0.2">
      <c r="A141" s="11"/>
      <c r="B141" s="10"/>
      <c r="C141" s="10"/>
      <c r="D141" s="697"/>
      <c r="E141" s="705"/>
      <c r="F141" s="10"/>
      <c r="G141" s="706"/>
      <c r="H141" s="698"/>
    </row>
    <row r="142" spans="1:8" ht="18" customHeight="1" x14ac:dyDescent="0.2">
      <c r="A142" s="28"/>
      <c r="B142" s="10"/>
      <c r="C142" s="10"/>
      <c r="D142" s="697"/>
      <c r="E142" s="705"/>
      <c r="F142" s="10"/>
      <c r="G142" s="706"/>
      <c r="H142" s="698"/>
    </row>
    <row r="143" spans="1:8" ht="18" customHeight="1" x14ac:dyDescent="0.2">
      <c r="A143" s="28"/>
      <c r="B143" s="10"/>
      <c r="C143" s="10"/>
      <c r="D143" s="697"/>
      <c r="E143" s="705"/>
      <c r="F143" s="10"/>
      <c r="G143" s="706"/>
      <c r="H143" s="698"/>
    </row>
    <row r="144" spans="1:8" ht="18" customHeight="1" x14ac:dyDescent="0.2">
      <c r="A144" s="28"/>
      <c r="B144" s="10"/>
      <c r="C144" s="10"/>
      <c r="D144" s="697"/>
      <c r="E144" s="705"/>
      <c r="F144" s="10"/>
      <c r="G144" s="706"/>
      <c r="H144" s="698"/>
    </row>
    <row r="145" spans="1:8" ht="18" customHeight="1" x14ac:dyDescent="0.2">
      <c r="A145" s="28"/>
      <c r="B145" s="697"/>
      <c r="C145" s="697"/>
      <c r="D145" s="697"/>
      <c r="E145" s="705"/>
      <c r="F145" s="697"/>
      <c r="G145" s="706"/>
      <c r="H145" s="698"/>
    </row>
    <row r="146" spans="1:8" ht="18" customHeight="1" x14ac:dyDescent="0.2">
      <c r="A146" s="28"/>
      <c r="B146" s="697"/>
      <c r="C146" s="697"/>
      <c r="D146" s="697"/>
      <c r="E146" s="705"/>
      <c r="F146" s="697"/>
      <c r="G146" s="706"/>
      <c r="H146" s="698"/>
    </row>
    <row r="147" spans="1:8" s="51" customFormat="1" ht="18" customHeight="1" thickBot="1" x14ac:dyDescent="0.25">
      <c r="A147" s="48"/>
      <c r="B147" s="715"/>
      <c r="C147" s="715"/>
      <c r="D147" s="715"/>
      <c r="E147" s="716"/>
      <c r="F147" s="715"/>
      <c r="G147" s="717"/>
      <c r="H147" s="718"/>
    </row>
    <row r="148" spans="1:8" ht="18" customHeight="1" x14ac:dyDescent="0.2">
      <c r="A148" s="719"/>
      <c r="B148" s="697"/>
      <c r="C148" s="697"/>
      <c r="D148" s="697"/>
      <c r="E148" s="705"/>
      <c r="F148" s="697"/>
      <c r="G148" s="706"/>
      <c r="H148" s="698"/>
    </row>
    <row r="149" spans="1:8" ht="18" customHeight="1" x14ac:dyDescent="0.2">
      <c r="A149" s="722"/>
      <c r="B149" s="697"/>
      <c r="C149" s="697"/>
      <c r="D149" s="697"/>
      <c r="E149" s="705"/>
      <c r="F149" s="697"/>
      <c r="G149" s="706"/>
      <c r="H149" s="698"/>
    </row>
    <row r="150" spans="1:8" ht="18" customHeight="1" x14ac:dyDescent="0.2">
      <c r="A150" s="722"/>
      <c r="B150" s="697"/>
      <c r="C150" s="697"/>
      <c r="D150" s="697"/>
      <c r="E150" s="705"/>
      <c r="F150" s="697"/>
      <c r="G150" s="706"/>
      <c r="H150" s="698"/>
    </row>
    <row r="151" spans="1:8" ht="18" customHeight="1" x14ac:dyDescent="0.2">
      <c r="A151" s="722"/>
      <c r="B151" s="697"/>
      <c r="C151" s="697"/>
      <c r="D151" s="697"/>
      <c r="E151" s="705"/>
      <c r="F151" s="697"/>
      <c r="G151" s="706"/>
      <c r="H151" s="698"/>
    </row>
    <row r="152" spans="1:8" ht="18" customHeight="1" x14ac:dyDescent="0.2">
      <c r="A152" s="722"/>
      <c r="B152" s="697"/>
      <c r="C152" s="697"/>
      <c r="D152" s="697"/>
      <c r="E152" s="705"/>
      <c r="F152" s="697"/>
      <c r="G152" s="706"/>
      <c r="H152" s="698"/>
    </row>
    <row r="153" spans="1:8" ht="18" customHeight="1" x14ac:dyDescent="0.2">
      <c r="A153" s="722"/>
      <c r="B153" s="697"/>
      <c r="C153" s="697"/>
      <c r="D153" s="697"/>
      <c r="E153" s="705"/>
      <c r="F153" s="697"/>
      <c r="G153" s="706"/>
      <c r="H153" s="698"/>
    </row>
    <row r="154" spans="1:8" ht="18" customHeight="1" x14ac:dyDescent="0.2">
      <c r="A154" s="722"/>
      <c r="B154" s="697"/>
      <c r="C154" s="697"/>
      <c r="D154" s="697"/>
      <c r="E154" s="705"/>
      <c r="F154" s="697"/>
      <c r="G154" s="706"/>
      <c r="H154" s="698"/>
    </row>
    <row r="155" spans="1:8" s="4" customFormat="1" ht="18" customHeight="1" thickBot="1" x14ac:dyDescent="0.25">
      <c r="A155" s="723"/>
      <c r="B155" s="711"/>
      <c r="C155" s="711"/>
      <c r="D155" s="711"/>
      <c r="E155" s="712"/>
      <c r="F155" s="711"/>
      <c r="G155" s="713"/>
      <c r="H155" s="714"/>
    </row>
    <row r="156" spans="1:8" s="11" customFormat="1" ht="18" customHeight="1" x14ac:dyDescent="0.2">
      <c r="A156" s="30"/>
      <c r="B156" s="39"/>
      <c r="C156" s="39"/>
      <c r="D156" s="10"/>
      <c r="E156" s="42"/>
      <c r="F156" s="39"/>
      <c r="G156" s="50"/>
      <c r="H156" s="31"/>
    </row>
    <row r="157" spans="1:8" ht="18" customHeight="1" x14ac:dyDescent="0.2">
      <c r="A157" s="27"/>
      <c r="B157" s="697"/>
      <c r="C157" s="697"/>
      <c r="D157" s="697"/>
      <c r="E157" s="705"/>
      <c r="F157" s="697"/>
      <c r="G157" s="706"/>
      <c r="H157" s="698"/>
    </row>
    <row r="158" spans="1:8" ht="18" customHeight="1" x14ac:dyDescent="0.2">
      <c r="A158" s="28"/>
      <c r="B158" s="697"/>
      <c r="C158" s="697"/>
      <c r="D158" s="697"/>
      <c r="E158" s="705"/>
      <c r="F158" s="697"/>
      <c r="G158" s="706"/>
      <c r="H158" s="698"/>
    </row>
    <row r="159" spans="1:8" ht="18" customHeight="1" x14ac:dyDescent="0.2">
      <c r="A159" s="29"/>
      <c r="B159" s="697"/>
      <c r="C159" s="697"/>
      <c r="D159" s="697"/>
      <c r="E159" s="705"/>
      <c r="F159" s="697"/>
      <c r="G159" s="706"/>
      <c r="H159" s="698"/>
    </row>
    <row r="160" spans="1:8" ht="18" customHeight="1" x14ac:dyDescent="0.2">
      <c r="A160" s="28"/>
      <c r="B160" s="697"/>
      <c r="C160" s="697"/>
      <c r="D160" s="697"/>
      <c r="E160" s="705"/>
      <c r="F160" s="697"/>
      <c r="G160" s="706"/>
      <c r="H160" s="698"/>
    </row>
    <row r="161" spans="1:8" ht="18" customHeight="1" x14ac:dyDescent="0.2">
      <c r="A161" s="57"/>
      <c r="B161" s="697"/>
      <c r="C161" s="697"/>
      <c r="D161" s="697"/>
      <c r="E161" s="705"/>
      <c r="F161" s="697"/>
      <c r="G161" s="706"/>
      <c r="H161" s="698"/>
    </row>
    <row r="162" spans="1:8" s="49" customFormat="1" ht="18" customHeight="1" thickBot="1" x14ac:dyDescent="0.25">
      <c r="A162" s="48"/>
      <c r="B162" s="715"/>
      <c r="C162" s="715"/>
      <c r="D162" s="715"/>
      <c r="E162" s="716"/>
      <c r="F162" s="715"/>
      <c r="G162" s="717"/>
      <c r="H162" s="718"/>
    </row>
    <row r="163" spans="1:8" ht="18" customHeight="1" x14ac:dyDescent="0.2">
      <c r="A163" s="699"/>
      <c r="B163" s="53"/>
      <c r="C163" s="697"/>
      <c r="D163" s="697"/>
      <c r="E163" s="705"/>
      <c r="F163" s="53"/>
      <c r="G163" s="706"/>
      <c r="H163" s="698"/>
    </row>
    <row r="164" spans="1:8" ht="18" customHeight="1" x14ac:dyDescent="0.2">
      <c r="A164" s="722"/>
      <c r="B164" s="697"/>
      <c r="C164" s="697"/>
      <c r="D164" s="697"/>
      <c r="E164" s="705"/>
      <c r="F164" s="697"/>
      <c r="G164" s="706"/>
      <c r="H164" s="698"/>
    </row>
    <row r="165" spans="1:8" ht="18" customHeight="1" x14ac:dyDescent="0.2">
      <c r="A165" s="722"/>
      <c r="B165" s="697"/>
      <c r="C165" s="697"/>
      <c r="D165" s="697"/>
      <c r="E165" s="705"/>
      <c r="F165" s="697"/>
      <c r="G165" s="706"/>
      <c r="H165" s="698"/>
    </row>
    <row r="166" spans="1:8" ht="18" customHeight="1" x14ac:dyDescent="0.2">
      <c r="A166" s="722"/>
      <c r="B166" s="697"/>
      <c r="C166" s="697"/>
      <c r="D166" s="697"/>
      <c r="E166" s="705"/>
      <c r="F166" s="697"/>
      <c r="G166" s="706"/>
      <c r="H166" s="698"/>
    </row>
    <row r="167" spans="1:8" ht="18" customHeight="1" x14ac:dyDescent="0.2">
      <c r="A167" s="722"/>
      <c r="B167" s="697"/>
      <c r="C167" s="697"/>
      <c r="D167" s="697"/>
      <c r="E167" s="705"/>
      <c r="F167" s="697"/>
      <c r="G167" s="706"/>
      <c r="H167" s="698"/>
    </row>
    <row r="168" spans="1:8" ht="18" customHeight="1" x14ac:dyDescent="0.2">
      <c r="A168" s="722"/>
      <c r="B168" s="53"/>
      <c r="C168" s="697"/>
      <c r="D168" s="697"/>
      <c r="E168" s="705"/>
      <c r="F168" s="697"/>
      <c r="G168" s="706"/>
      <c r="H168" s="698"/>
    </row>
    <row r="169" spans="1:8" ht="18" customHeight="1" x14ac:dyDescent="0.2">
      <c r="A169" s="722"/>
      <c r="B169" s="697"/>
      <c r="C169" s="697"/>
      <c r="D169" s="697"/>
      <c r="E169" s="705"/>
      <c r="F169" s="697"/>
      <c r="G169" s="706"/>
      <c r="H169" s="698"/>
    </row>
    <row r="170" spans="1:8" ht="18" customHeight="1" x14ac:dyDescent="0.2">
      <c r="A170" s="722"/>
      <c r="B170" s="697"/>
      <c r="C170" s="697"/>
      <c r="D170" s="697"/>
      <c r="E170" s="708"/>
      <c r="F170" s="697"/>
      <c r="G170" s="706"/>
      <c r="H170" s="698"/>
    </row>
    <row r="171" spans="1:8" ht="18" customHeight="1" x14ac:dyDescent="0.2">
      <c r="A171" s="722"/>
      <c r="B171" s="697"/>
      <c r="C171" s="697"/>
      <c r="D171" s="697"/>
      <c r="E171" s="708"/>
      <c r="F171" s="697"/>
      <c r="G171" s="706"/>
      <c r="H171" s="698"/>
    </row>
    <row r="172" spans="1:8" ht="18" customHeight="1" x14ac:dyDescent="0.2">
      <c r="A172" s="719"/>
      <c r="B172" s="697"/>
      <c r="C172" s="697"/>
      <c r="D172" s="697"/>
      <c r="E172" s="705"/>
      <c r="F172" s="697"/>
      <c r="G172" s="706"/>
      <c r="H172" s="698"/>
    </row>
    <row r="173" spans="1:8" ht="18" customHeight="1" x14ac:dyDescent="0.2">
      <c r="A173" s="719"/>
      <c r="B173" s="697"/>
      <c r="C173" s="697"/>
      <c r="D173" s="697"/>
      <c r="E173" s="705"/>
      <c r="F173" s="697"/>
      <c r="G173" s="706"/>
      <c r="H173" s="698"/>
    </row>
    <row r="174" spans="1:8" ht="18" customHeight="1" x14ac:dyDescent="0.2">
      <c r="A174" s="722"/>
      <c r="B174" s="697"/>
      <c r="C174" s="697"/>
      <c r="D174" s="697"/>
      <c r="E174" s="705"/>
      <c r="F174" s="697"/>
      <c r="G174" s="706"/>
      <c r="H174" s="698"/>
    </row>
    <row r="175" spans="1:8" ht="18" customHeight="1" x14ac:dyDescent="0.2">
      <c r="A175" s="699"/>
      <c r="B175" s="709"/>
      <c r="C175" s="697"/>
      <c r="D175" s="697"/>
      <c r="E175" s="705"/>
      <c r="F175" s="709"/>
      <c r="G175" s="706"/>
      <c r="H175" s="698"/>
    </row>
    <row r="176" spans="1:8" ht="18" customHeight="1" x14ac:dyDescent="0.2">
      <c r="A176" s="699"/>
      <c r="B176" s="709"/>
      <c r="C176" s="697"/>
      <c r="D176" s="697"/>
      <c r="E176" s="705"/>
      <c r="F176" s="709"/>
      <c r="G176" s="706"/>
      <c r="H176" s="698"/>
    </row>
    <row r="177" spans="1:8" ht="18" customHeight="1" x14ac:dyDescent="0.2">
      <c r="A177" s="699"/>
      <c r="B177" s="709"/>
      <c r="C177" s="697"/>
      <c r="D177" s="697"/>
      <c r="E177" s="705"/>
      <c r="F177" s="709"/>
      <c r="G177" s="706"/>
      <c r="H177" s="698"/>
    </row>
    <row r="178" spans="1:8" ht="18" customHeight="1" x14ac:dyDescent="0.2">
      <c r="A178" s="699"/>
      <c r="B178" s="709"/>
      <c r="C178" s="697"/>
      <c r="D178" s="697"/>
      <c r="E178" s="705"/>
      <c r="F178" s="709"/>
      <c r="G178" s="706"/>
      <c r="H178" s="698"/>
    </row>
    <row r="179" spans="1:8" ht="18" customHeight="1" x14ac:dyDescent="0.2">
      <c r="A179" s="699"/>
      <c r="B179" s="709"/>
      <c r="C179" s="697"/>
      <c r="D179" s="697"/>
      <c r="E179" s="705"/>
      <c r="F179" s="709"/>
      <c r="G179" s="706"/>
      <c r="H179" s="698"/>
    </row>
    <row r="180" spans="1:8" ht="18" customHeight="1" x14ac:dyDescent="0.2">
      <c r="A180" s="720"/>
      <c r="B180" s="53"/>
      <c r="C180" s="697"/>
      <c r="D180" s="697"/>
      <c r="E180" s="705"/>
      <c r="F180" s="54"/>
      <c r="G180" s="706"/>
      <c r="H180" s="708"/>
    </row>
    <row r="181" spans="1:8" ht="18" customHeight="1" x14ac:dyDescent="0.2">
      <c r="A181" s="699"/>
      <c r="B181" s="709"/>
      <c r="C181" s="697"/>
      <c r="D181" s="697"/>
      <c r="E181" s="705"/>
      <c r="F181" s="709"/>
      <c r="G181" s="706"/>
      <c r="H181" s="698"/>
    </row>
    <row r="182" spans="1:8" ht="18" customHeight="1" x14ac:dyDescent="0.2">
      <c r="A182" s="720"/>
      <c r="B182" s="54"/>
      <c r="C182" s="697"/>
      <c r="D182" s="697"/>
      <c r="E182" s="708"/>
      <c r="F182" s="709"/>
      <c r="G182" s="706"/>
      <c r="H182" s="708"/>
    </row>
    <row r="183" spans="1:8" ht="18" customHeight="1" x14ac:dyDescent="0.2">
      <c r="A183" s="720"/>
      <c r="B183" s="54"/>
      <c r="C183" s="697"/>
      <c r="D183" s="697"/>
      <c r="E183" s="708"/>
      <c r="F183" s="709"/>
      <c r="G183" s="706"/>
      <c r="H183" s="708"/>
    </row>
    <row r="184" spans="1:8" s="4" customFormat="1" ht="18" customHeight="1" thickBot="1" x14ac:dyDescent="0.25">
      <c r="A184" s="701"/>
      <c r="B184" s="724"/>
      <c r="C184" s="711"/>
      <c r="D184" s="711"/>
      <c r="E184" s="721"/>
      <c r="F184" s="711"/>
      <c r="G184" s="713"/>
      <c r="H184" s="721"/>
    </row>
    <row r="185" spans="1:8" s="35" customFormat="1" ht="18" customHeight="1" x14ac:dyDescent="0.2">
      <c r="A185" s="36"/>
      <c r="B185" s="40"/>
      <c r="C185" s="40"/>
      <c r="D185" s="702"/>
      <c r="E185" s="725"/>
      <c r="F185" s="40"/>
      <c r="G185" s="726"/>
      <c r="H185" s="704"/>
    </row>
    <row r="186" spans="1:8" ht="18" customHeight="1" x14ac:dyDescent="0.2">
      <c r="A186" s="27"/>
      <c r="B186" s="22"/>
      <c r="C186" s="22"/>
      <c r="D186" s="697"/>
      <c r="E186" s="705"/>
      <c r="F186" s="22"/>
      <c r="G186" s="706"/>
      <c r="H186" s="698"/>
    </row>
    <row r="187" spans="1:8" ht="18" customHeight="1" x14ac:dyDescent="0.2">
      <c r="A187" s="28"/>
      <c r="B187" s="22"/>
      <c r="C187" s="22"/>
      <c r="D187" s="697"/>
      <c r="E187" s="705"/>
      <c r="F187" s="22"/>
      <c r="G187" s="706"/>
      <c r="H187" s="698"/>
    </row>
    <row r="188" spans="1:8" ht="18" customHeight="1" x14ac:dyDescent="0.2">
      <c r="A188" s="720"/>
      <c r="B188" s="709"/>
      <c r="C188" s="709"/>
      <c r="D188" s="697"/>
      <c r="E188" s="705"/>
      <c r="F188" s="709"/>
      <c r="G188" s="706"/>
      <c r="H188" s="698"/>
    </row>
    <row r="189" spans="1:8" ht="18" customHeight="1" x14ac:dyDescent="0.2">
      <c r="A189" s="720"/>
      <c r="B189" s="709"/>
      <c r="C189" s="709"/>
      <c r="D189" s="697"/>
      <c r="E189" s="705"/>
      <c r="F189" s="709"/>
      <c r="G189" s="706"/>
      <c r="H189" s="698"/>
    </row>
    <row r="190" spans="1:8" s="35" customFormat="1" ht="18" customHeight="1" x14ac:dyDescent="0.2">
      <c r="A190" s="36"/>
      <c r="B190" s="37"/>
      <c r="C190" s="37"/>
      <c r="D190" s="37"/>
      <c r="E190" s="43"/>
      <c r="F190" s="37"/>
      <c r="G190" s="37"/>
      <c r="H190" s="38"/>
    </row>
    <row r="191" spans="1:8" ht="18" customHeight="1" x14ac:dyDescent="0.2">
      <c r="A191" s="57"/>
      <c r="B191" s="697"/>
      <c r="C191" s="697"/>
      <c r="D191" s="697"/>
      <c r="E191" s="705"/>
      <c r="F191" s="727"/>
      <c r="G191" s="697"/>
      <c r="H191" s="698"/>
    </row>
    <row r="192" spans="1:8" ht="18" customHeight="1" x14ac:dyDescent="0.2">
      <c r="A192" s="57"/>
      <c r="B192" s="697"/>
      <c r="C192" s="53"/>
      <c r="D192" s="53"/>
      <c r="E192" s="705"/>
      <c r="F192" s="697"/>
      <c r="G192" s="697"/>
      <c r="H192" s="698"/>
    </row>
    <row r="193" spans="3:5" ht="18" customHeight="1" x14ac:dyDescent="0.2">
      <c r="C193" s="55"/>
      <c r="D193" s="55"/>
      <c r="E193" s="705"/>
    </row>
    <row r="194" spans="3:5" ht="18" customHeight="1" x14ac:dyDescent="0.2">
      <c r="C194" s="54"/>
      <c r="D194" s="54"/>
      <c r="E194" s="705"/>
    </row>
    <row r="195" spans="3:5" ht="18" customHeight="1" x14ac:dyDescent="0.2">
      <c r="C195" s="697"/>
      <c r="D195" s="697"/>
      <c r="E195" s="705"/>
    </row>
    <row r="196" spans="3:5" ht="18" customHeight="1" x14ac:dyDescent="0.2">
      <c r="C196" s="697"/>
      <c r="D196" s="697"/>
      <c r="E196" s="705"/>
    </row>
    <row r="197" spans="3:5" ht="18" customHeight="1" x14ac:dyDescent="0.2">
      <c r="C197" s="697"/>
      <c r="D197" s="697"/>
      <c r="E197" s="705"/>
    </row>
    <row r="198" spans="3:5" ht="18" customHeight="1" x14ac:dyDescent="0.2">
      <c r="C198" s="697"/>
      <c r="D198" s="697"/>
      <c r="E198" s="705"/>
    </row>
    <row r="199" spans="3:5" ht="18" customHeight="1" x14ac:dyDescent="0.2">
      <c r="C199" s="697"/>
      <c r="D199" s="697"/>
      <c r="E199" s="705"/>
    </row>
    <row r="200" spans="3:5" ht="18" customHeight="1" x14ac:dyDescent="0.2">
      <c r="C200" s="697"/>
      <c r="D200" s="697"/>
      <c r="E200" s="705"/>
    </row>
    <row r="201" spans="3:5" ht="18" customHeight="1" x14ac:dyDescent="0.2">
      <c r="C201" s="697"/>
      <c r="D201" s="697"/>
      <c r="E201" s="705"/>
    </row>
    <row r="202" spans="3:5" ht="18" customHeight="1" x14ac:dyDescent="0.2">
      <c r="C202" s="697"/>
      <c r="D202" s="697"/>
      <c r="E202" s="705"/>
    </row>
    <row r="203" spans="3:5" ht="18" customHeight="1" x14ac:dyDescent="0.2">
      <c r="C203" s="697"/>
      <c r="D203" s="697"/>
      <c r="E203" s="705"/>
    </row>
    <row r="204" spans="3:5" ht="18" customHeight="1" x14ac:dyDescent="0.2">
      <c r="C204" s="697"/>
      <c r="D204" s="697"/>
      <c r="E204" s="705"/>
    </row>
    <row r="205" spans="3:5" ht="18" customHeight="1" x14ac:dyDescent="0.2">
      <c r="C205" s="697"/>
      <c r="D205" s="697"/>
      <c r="E205" s="705"/>
    </row>
    <row r="206" spans="3:5" ht="18" customHeight="1" x14ac:dyDescent="0.2">
      <c r="C206" s="697"/>
      <c r="D206" s="697"/>
      <c r="E206" s="705"/>
    </row>
    <row r="207" spans="3:5" ht="18" customHeight="1" x14ac:dyDescent="0.2">
      <c r="C207" s="697"/>
      <c r="D207" s="697"/>
      <c r="E207" s="705"/>
    </row>
    <row r="208" spans="3:5" ht="18" customHeight="1" x14ac:dyDescent="0.2">
      <c r="C208" s="697"/>
      <c r="D208" s="697"/>
      <c r="E208" s="705"/>
    </row>
    <row r="209" spans="5:5" ht="18" customHeight="1" x14ac:dyDescent="0.2">
      <c r="E209" s="705"/>
    </row>
    <row r="210" spans="5:5" ht="18" customHeight="1" x14ac:dyDescent="0.2">
      <c r="E210" s="705"/>
    </row>
    <row r="211" spans="5:5" ht="18" customHeight="1" x14ac:dyDescent="0.2">
      <c r="E211" s="705"/>
    </row>
    <row r="212" spans="5:5" ht="18" customHeight="1" x14ac:dyDescent="0.2">
      <c r="E212" s="705"/>
    </row>
    <row r="213" spans="5:5" ht="18" customHeight="1" x14ac:dyDescent="0.2">
      <c r="E213" s="705"/>
    </row>
    <row r="214" spans="5:5" ht="18" customHeight="1" x14ac:dyDescent="0.2">
      <c r="E214" s="705"/>
    </row>
    <row r="215" spans="5:5" ht="18" customHeight="1" x14ac:dyDescent="0.2">
      <c r="E215" s="705"/>
    </row>
    <row r="216" spans="5:5" ht="18" customHeight="1" x14ac:dyDescent="0.2">
      <c r="E216" s="705"/>
    </row>
    <row r="217" spans="5:5" ht="18" customHeight="1" x14ac:dyDescent="0.2">
      <c r="E217" s="705"/>
    </row>
    <row r="218" spans="5:5" ht="18" customHeight="1" x14ac:dyDescent="0.2">
      <c r="E218" s="705"/>
    </row>
    <row r="219" spans="5:5" ht="18" customHeight="1" x14ac:dyDescent="0.2">
      <c r="E219" s="705"/>
    </row>
    <row r="220" spans="5:5" ht="18" customHeight="1" x14ac:dyDescent="0.2">
      <c r="E220" s="705"/>
    </row>
    <row r="221" spans="5:5" ht="18" customHeight="1" x14ac:dyDescent="0.2">
      <c r="E221" s="705"/>
    </row>
    <row r="222" spans="5:5" ht="18" customHeight="1" x14ac:dyDescent="0.2">
      <c r="E222" s="705"/>
    </row>
    <row r="223" spans="5:5" ht="18" customHeight="1" x14ac:dyDescent="0.2">
      <c r="E223" s="705"/>
    </row>
    <row r="224" spans="5:5" ht="18" customHeight="1" x14ac:dyDescent="0.2">
      <c r="E224" s="705"/>
    </row>
    <row r="225" spans="5:5" ht="18" customHeight="1" x14ac:dyDescent="0.2">
      <c r="E225" s="705"/>
    </row>
    <row r="226" spans="5:5" ht="18" customHeight="1" x14ac:dyDescent="0.2">
      <c r="E226" s="705"/>
    </row>
    <row r="227" spans="5:5" ht="18" customHeight="1" x14ac:dyDescent="0.2">
      <c r="E227" s="705"/>
    </row>
    <row r="228" spans="5:5" ht="18" customHeight="1" x14ac:dyDescent="0.2">
      <c r="E228" s="705"/>
    </row>
    <row r="229" spans="5:5" x14ac:dyDescent="0.2">
      <c r="E229" s="705"/>
    </row>
    <row r="230" spans="5:5" x14ac:dyDescent="0.2">
      <c r="E230" s="705"/>
    </row>
    <row r="231" spans="5:5" x14ac:dyDescent="0.2">
      <c r="E231" s="705"/>
    </row>
    <row r="232" spans="5:5" x14ac:dyDescent="0.2">
      <c r="E232" s="705"/>
    </row>
    <row r="233" spans="5:5" x14ac:dyDescent="0.2">
      <c r="E233" s="705"/>
    </row>
    <row r="234" spans="5:5" x14ac:dyDescent="0.2">
      <c r="E234" s="705"/>
    </row>
    <row r="235" spans="5:5" x14ac:dyDescent="0.2">
      <c r="E235" s="705"/>
    </row>
    <row r="236" spans="5:5" x14ac:dyDescent="0.2">
      <c r="E236" s="705"/>
    </row>
    <row r="237" spans="5:5" x14ac:dyDescent="0.2">
      <c r="E237" s="705"/>
    </row>
    <row r="238" spans="5:5" x14ac:dyDescent="0.2">
      <c r="E238" s="705"/>
    </row>
    <row r="239" spans="5:5" x14ac:dyDescent="0.2">
      <c r="E239" s="705"/>
    </row>
    <row r="240" spans="5:5" x14ac:dyDescent="0.2">
      <c r="E240" s="705"/>
    </row>
    <row r="241" spans="5:5" x14ac:dyDescent="0.2">
      <c r="E241" s="705"/>
    </row>
    <row r="242" spans="5:5" x14ac:dyDescent="0.2">
      <c r="E242" s="705"/>
    </row>
    <row r="243" spans="5:5" x14ac:dyDescent="0.2">
      <c r="E243" s="705"/>
    </row>
    <row r="244" spans="5:5" x14ac:dyDescent="0.2">
      <c r="E244" s="705"/>
    </row>
    <row r="245" spans="5:5" x14ac:dyDescent="0.2">
      <c r="E245" s="705"/>
    </row>
    <row r="246" spans="5:5" x14ac:dyDescent="0.2">
      <c r="E246" s="705"/>
    </row>
    <row r="247" spans="5:5" x14ac:dyDescent="0.2">
      <c r="E247" s="705"/>
    </row>
    <row r="248" spans="5:5" x14ac:dyDescent="0.2">
      <c r="E248" s="57"/>
    </row>
    <row r="249" spans="5:5" x14ac:dyDescent="0.2">
      <c r="E249" s="57"/>
    </row>
    <row r="250" spans="5:5" x14ac:dyDescent="0.2">
      <c r="E250" s="57"/>
    </row>
    <row r="251" spans="5:5" x14ac:dyDescent="0.2">
      <c r="E251" s="57"/>
    </row>
    <row r="252" spans="5:5" x14ac:dyDescent="0.2">
      <c r="E252" s="57"/>
    </row>
    <row r="253" spans="5:5" x14ac:dyDescent="0.2">
      <c r="E253" s="57"/>
    </row>
    <row r="254" spans="5:5" x14ac:dyDescent="0.2">
      <c r="E254" s="57"/>
    </row>
    <row r="255" spans="5:5" x14ac:dyDescent="0.2">
      <c r="E255" s="57"/>
    </row>
    <row r="256" spans="5:5" x14ac:dyDescent="0.2">
      <c r="E256" s="57"/>
    </row>
    <row r="257" spans="5:5" x14ac:dyDescent="0.2">
      <c r="E257" s="57"/>
    </row>
    <row r="258" spans="5:5" x14ac:dyDescent="0.2">
      <c r="E258" s="57"/>
    </row>
    <row r="259" spans="5:5" x14ac:dyDescent="0.2">
      <c r="E259" s="57"/>
    </row>
    <row r="260" spans="5:5" x14ac:dyDescent="0.2">
      <c r="E260" s="57"/>
    </row>
    <row r="261" spans="5:5" x14ac:dyDescent="0.2">
      <c r="E261" s="57"/>
    </row>
    <row r="262" spans="5:5" x14ac:dyDescent="0.2">
      <c r="E262" s="57"/>
    </row>
    <row r="263" spans="5:5" x14ac:dyDescent="0.2">
      <c r="E263" s="57"/>
    </row>
    <row r="264" spans="5:5" x14ac:dyDescent="0.2">
      <c r="E264" s="57"/>
    </row>
    <row r="265" spans="5:5" x14ac:dyDescent="0.2">
      <c r="E265" s="57"/>
    </row>
    <row r="266" spans="5:5" x14ac:dyDescent="0.2">
      <c r="E266" s="57"/>
    </row>
    <row r="267" spans="5:5" x14ac:dyDescent="0.2">
      <c r="E267" s="57"/>
    </row>
    <row r="268" spans="5:5" x14ac:dyDescent="0.2">
      <c r="E268" s="57"/>
    </row>
    <row r="269" spans="5:5" x14ac:dyDescent="0.2">
      <c r="E269" s="57"/>
    </row>
    <row r="270" spans="5:5" x14ac:dyDescent="0.2">
      <c r="E270" s="57"/>
    </row>
    <row r="271" spans="5:5" x14ac:dyDescent="0.2">
      <c r="E271" s="57"/>
    </row>
    <row r="272" spans="5:5" x14ac:dyDescent="0.2">
      <c r="E272" s="57"/>
    </row>
    <row r="273" spans="5:5" x14ac:dyDescent="0.2">
      <c r="E273" s="57"/>
    </row>
    <row r="274" spans="5:5" x14ac:dyDescent="0.2">
      <c r="E274" s="57"/>
    </row>
    <row r="275" spans="5:5" x14ac:dyDescent="0.2">
      <c r="E275" s="57"/>
    </row>
    <row r="276" spans="5:5" x14ac:dyDescent="0.2">
      <c r="E276" s="57"/>
    </row>
    <row r="277" spans="5:5" x14ac:dyDescent="0.2">
      <c r="E277" s="57"/>
    </row>
    <row r="278" spans="5:5" x14ac:dyDescent="0.2">
      <c r="E278" s="57"/>
    </row>
    <row r="279" spans="5:5" x14ac:dyDescent="0.2">
      <c r="E279" s="57"/>
    </row>
    <row r="280" spans="5:5" x14ac:dyDescent="0.2">
      <c r="E280" s="57"/>
    </row>
    <row r="281" spans="5:5" x14ac:dyDescent="0.2">
      <c r="E281" s="57"/>
    </row>
    <row r="282" spans="5:5" x14ac:dyDescent="0.2">
      <c r="E282" s="57"/>
    </row>
    <row r="283" spans="5:5" x14ac:dyDescent="0.2">
      <c r="E283" s="57"/>
    </row>
    <row r="284" spans="5:5" x14ac:dyDescent="0.2">
      <c r="E284" s="57"/>
    </row>
    <row r="285" spans="5:5" x14ac:dyDescent="0.2">
      <c r="E285" s="57"/>
    </row>
    <row r="286" spans="5:5" x14ac:dyDescent="0.2">
      <c r="E286" s="57"/>
    </row>
    <row r="287" spans="5:5" x14ac:dyDescent="0.2">
      <c r="E287" s="57"/>
    </row>
    <row r="288" spans="5:5" x14ac:dyDescent="0.2">
      <c r="E288" s="57"/>
    </row>
    <row r="289" spans="5:5" x14ac:dyDescent="0.2">
      <c r="E289" s="57"/>
    </row>
    <row r="290" spans="5:5" x14ac:dyDescent="0.2">
      <c r="E290" s="57"/>
    </row>
    <row r="291" spans="5:5" x14ac:dyDescent="0.2">
      <c r="E291" s="57"/>
    </row>
    <row r="292" spans="5:5" x14ac:dyDescent="0.2">
      <c r="E292" s="57"/>
    </row>
    <row r="293" spans="5:5" x14ac:dyDescent="0.2">
      <c r="E293" s="57"/>
    </row>
    <row r="294" spans="5:5" x14ac:dyDescent="0.2">
      <c r="E294" s="57"/>
    </row>
    <row r="295" spans="5:5" x14ac:dyDescent="0.2">
      <c r="E295" s="57"/>
    </row>
    <row r="296" spans="5:5" x14ac:dyDescent="0.2">
      <c r="E296" s="57"/>
    </row>
    <row r="297" spans="5:5" x14ac:dyDescent="0.2">
      <c r="E297" s="57"/>
    </row>
    <row r="298" spans="5:5" x14ac:dyDescent="0.2">
      <c r="E298" s="57"/>
    </row>
    <row r="299" spans="5:5" x14ac:dyDescent="0.2">
      <c r="E299" s="57"/>
    </row>
    <row r="300" spans="5:5" x14ac:dyDescent="0.2">
      <c r="E300" s="57"/>
    </row>
    <row r="301" spans="5:5" x14ac:dyDescent="0.2">
      <c r="E301" s="57"/>
    </row>
    <row r="302" spans="5:5" x14ac:dyDescent="0.2">
      <c r="E302" s="57"/>
    </row>
    <row r="303" spans="5:5" x14ac:dyDescent="0.2">
      <c r="E303" s="57"/>
    </row>
    <row r="304" spans="5:5" x14ac:dyDescent="0.2">
      <c r="E304" s="57"/>
    </row>
    <row r="305" spans="5:5" x14ac:dyDescent="0.2">
      <c r="E305" s="57"/>
    </row>
    <row r="306" spans="5:5" x14ac:dyDescent="0.2">
      <c r="E306" s="57"/>
    </row>
    <row r="307" spans="5:5" x14ac:dyDescent="0.2">
      <c r="E307" s="57"/>
    </row>
    <row r="308" spans="5:5" x14ac:dyDescent="0.2">
      <c r="E308" s="57"/>
    </row>
    <row r="309" spans="5:5" x14ac:dyDescent="0.2">
      <c r="E309" s="57"/>
    </row>
    <row r="310" spans="5:5" x14ac:dyDescent="0.2">
      <c r="E310" s="57"/>
    </row>
    <row r="311" spans="5:5" x14ac:dyDescent="0.2">
      <c r="E311" s="57"/>
    </row>
    <row r="312" spans="5:5" x14ac:dyDescent="0.2">
      <c r="E312" s="57"/>
    </row>
    <row r="313" spans="5:5" x14ac:dyDescent="0.2">
      <c r="E313" s="57"/>
    </row>
    <row r="314" spans="5:5" x14ac:dyDescent="0.2">
      <c r="E314" s="57"/>
    </row>
    <row r="315" spans="5:5" x14ac:dyDescent="0.2">
      <c r="E315" s="57"/>
    </row>
    <row r="316" spans="5:5" x14ac:dyDescent="0.2">
      <c r="E316" s="57"/>
    </row>
    <row r="317" spans="5:5" x14ac:dyDescent="0.2">
      <c r="E317" s="57"/>
    </row>
    <row r="318" spans="5:5" x14ac:dyDescent="0.2">
      <c r="E318" s="57"/>
    </row>
    <row r="319" spans="5:5" x14ac:dyDescent="0.2">
      <c r="E319" s="57"/>
    </row>
    <row r="320" spans="5:5" x14ac:dyDescent="0.2">
      <c r="E320" s="57"/>
    </row>
    <row r="321" spans="5:5" x14ac:dyDescent="0.2">
      <c r="E321" s="57"/>
    </row>
    <row r="322" spans="5:5" x14ac:dyDescent="0.2">
      <c r="E322" s="57"/>
    </row>
  </sheetData>
  <customSheetViews>
    <customSheetView guid="{AEFEB150-9213-45F5-A178-7AC71E46DB11}" scale="85" topLeftCell="A7">
      <pane xSplit="1" ySplit="3" topLeftCell="B10" activePane="bottomRight" state="frozen"/>
      <selection pane="bottomRight" activeCell="M204" sqref="M204"/>
      <pageMargins left="0" right="0" top="0" bottom="0" header="0" footer="0"/>
    </customSheetView>
    <customSheetView guid="{AB763728-FC8E-40B1-8BAD-FF6772AD9A46}" scale="85" topLeftCell="A7">
      <pane xSplit="1" ySplit="3" topLeftCell="B10" activePane="bottomRight" state="frozen"/>
      <selection pane="bottomRight" activeCell="M204" sqref="M204"/>
      <pageMargins left="0" right="0" top="0" bottom="0" header="0" footer="0"/>
    </customSheetView>
    <customSheetView guid="{08B0A6E6-0C62-4331-9E9A-05DFF5B8DF5B}" scale="85" topLeftCell="A7">
      <pane xSplit="1" ySplit="3" topLeftCell="B10" activePane="bottomRight" state="frozen"/>
      <selection pane="bottomRight" activeCell="E19" sqref="E19"/>
      <pageMargins left="0" right="0" top="0" bottom="0" header="0" footer="0"/>
      <pageSetup orientation="portrait" r:id="rId1"/>
    </customSheetView>
    <customSheetView guid="{70E2A0B1-0EA6-43AE-8715-395179465BE5}" scale="85" topLeftCell="A7">
      <pane xSplit="1" ySplit="3" topLeftCell="B10" activePane="bottomRight" state="frozen"/>
      <selection pane="bottomRight" activeCell="F12" sqref="F12"/>
      <pageMargins left="0" right="0" top="0" bottom="0" header="0" footer="0"/>
    </customSheetView>
    <customSheetView guid="{34052DE1-5E82-4B7C-8FA6-8E533676FB0A}" scale="85" topLeftCell="A7">
      <pane xSplit="1" ySplit="3" topLeftCell="B10" activePane="bottomRight" state="frozen"/>
      <selection pane="bottomRight" activeCell="A8" sqref="A8"/>
      <pageMargins left="0" right="0" top="0" bottom="0" header="0" footer="0"/>
    </customSheetView>
    <customSheetView guid="{A2518DB3-3A80-4035-9307-EC50A7C923F2}" scale="85" topLeftCell="A7">
      <pane xSplit="1" ySplit="3" topLeftCell="B10" activePane="bottomRight" state="frozen"/>
      <selection pane="bottomRight" activeCell="M204" sqref="M204"/>
      <pageMargins left="0" right="0" top="0" bottom="0" header="0" footer="0"/>
    </customSheetView>
    <customSheetView guid="{E81D05A4-5B21-42D3-A8D3-906ABCABC0F4}" scale="85" hiddenRows="1" topLeftCell="A7">
      <pane xSplit="1" ySplit="3" topLeftCell="B10" activePane="bottomRight" state="frozen"/>
      <selection pane="bottomRight" activeCell="A8" sqref="A8"/>
      <pageMargins left="0" right="0" top="0" bottom="0" header="0" footer="0"/>
    </customSheetView>
    <customSheetView guid="{E44F5FE1-54FC-4AB3-84F9-7D65ACF2DDE7}" scale="85" hiddenRows="1" topLeftCell="A7">
      <pane xSplit="1" ySplit="3" topLeftCell="B10" activePane="bottomRight" state="frozen"/>
      <selection pane="bottomRight" activeCell="A31" sqref="A31"/>
      <pageMargins left="0" right="0" top="0" bottom="0" header="0" footer="0"/>
    </customSheetView>
    <customSheetView guid="{94DA13B6-7351-40F3-8CF7-A4211EC439DA}" scale="85" hiddenRows="1" topLeftCell="A7">
      <pane xSplit="1" ySplit="3" topLeftCell="B10" activePane="bottomRight" state="frozen"/>
      <selection pane="bottomRight" activeCell="M204" sqref="M204"/>
      <pageMargins left="0" right="0" top="0" bottom="0" header="0" footer="0"/>
    </customSheetView>
    <customSheetView guid="{8F508F4D-4777-42BE-9707-8CB9355F7BDB}" scale="85" hiddenRows="1" topLeftCell="A7">
      <pane xSplit="1" ySplit="3" topLeftCell="B10" activePane="bottomRight" state="frozen"/>
      <selection pane="bottomRight" activeCell="M204" sqref="M204"/>
      <pageMargins left="0" right="0" top="0" bottom="0" header="0" footer="0"/>
    </customSheetView>
    <customSheetView guid="{F784130D-F647-4ABA-8943-C79CA5B0FDC4}" scale="85" hiddenRows="1" topLeftCell="A7">
      <pane xSplit="1" ySplit="3" topLeftCell="B10" activePane="bottomRight" state="frozen"/>
      <selection pane="bottomRight" activeCell="M204" sqref="M204"/>
      <pageMargins left="0" right="0" top="0" bottom="0" header="0" footer="0"/>
    </customSheetView>
    <customSheetView guid="{1E5198E1-BA46-4CE0-8628-4F695B0D7A3B}" scale="85" hiddenRows="1" topLeftCell="A7">
      <pane xSplit="1" ySplit="3" topLeftCell="B10" activePane="bottomRight" state="frozen"/>
      <selection pane="bottomRight" activeCell="A31" sqref="A31"/>
      <pageMargins left="0" right="0" top="0" bottom="0" header="0" footer="0"/>
    </customSheetView>
    <customSheetView guid="{455630F5-40FC-47DB-8AD4-712C20B8FB91}" scale="85" hiddenRows="1" topLeftCell="A7">
      <pane xSplit="1" ySplit="3" topLeftCell="B10" activePane="bottomRight" state="frozen"/>
      <selection pane="bottomRight" activeCell="M204" sqref="M204"/>
      <pageMargins left="0" right="0" top="0" bottom="0" header="0" footer="0"/>
    </customSheetView>
    <customSheetView guid="{9D4F0482-B164-4671-805A-E0D2D4DD4720}" scale="85" hiddenRows="1" topLeftCell="A7">
      <pane xSplit="1" ySplit="3" topLeftCell="B10" activePane="bottomRight" state="frozen"/>
      <selection pane="bottomRight" activeCell="M204" sqref="M204"/>
      <pageMargins left="0" right="0" top="0" bottom="0" header="0" footer="0"/>
    </customSheetView>
    <customSheetView guid="{567C3053-2D8E-4705-8DC7-18896C5303CA}" scale="85" showPageBreaks="1" hiddenRows="1" state="hidden" topLeftCell="A7">
      <pane xSplit="1" ySplit="3" topLeftCell="F10" activePane="bottomRight" state="frozen"/>
      <selection pane="bottomRight" activeCell="M202" sqref="M202"/>
      <pageMargins left="0" right="0" top="0" bottom="0" header="0" footer="0"/>
      <pageSetup orientation="portrait" r:id="rId2"/>
    </customSheetView>
    <customSheetView guid="{7A9890A5-7CC2-466F-AA52-39E8D428DC1C}" scale="85" hiddenRows="1" state="hidden" topLeftCell="A7">
      <pane xSplit="1" ySplit="3" topLeftCell="F10" activePane="bottomRight" state="frozen"/>
      <selection pane="bottomRight" activeCell="M202" sqref="M202"/>
      <pageMargins left="0" right="0" top="0" bottom="0" header="0" footer="0"/>
      <pageSetup orientation="portrait" r:id="rId3"/>
    </customSheetView>
    <customSheetView guid="{CBA65C9F-528B-4CA5-AFDD-C38CD40775BB}" scale="85" hiddenRows="1" topLeftCell="A7">
      <pane xSplit="1" ySplit="3" topLeftCell="B10" activePane="bottomRight" state="frozen"/>
      <selection pane="bottomRight" activeCell="M204" sqref="M204"/>
      <pageMargins left="0" right="0" top="0" bottom="0" header="0" footer="0"/>
    </customSheetView>
    <customSheetView guid="{78CA186D-B240-44D5-8A24-D241DE0B0FD9}" scale="85" topLeftCell="A7">
      <pane xSplit="1" ySplit="3" topLeftCell="B10" activePane="bottomRight" state="frozen"/>
      <selection pane="bottomRight" activeCell="E19" sqref="E19"/>
      <pageMargins left="0" right="0" top="0" bottom="0" header="0" footer="0"/>
      <pageSetup orientation="portrait" r:id="rId4"/>
    </customSheetView>
    <customSheetView guid="{5102CD51-6323-4C0C-991F-AF8276ECBB13}" scale="85" topLeftCell="A7">
      <pane xSplit="1" ySplit="3" topLeftCell="B10" activePane="bottomRight" state="frozen"/>
      <selection pane="bottomRight" activeCell="E19" sqref="E19"/>
      <pageMargins left="0.7" right="0.7" top="0.75" bottom="0.75" header="0.3" footer="0.3"/>
      <pageSetup orientation="portrait" r:id="rId5"/>
    </customSheetView>
    <customSheetView guid="{FF124C4D-20DF-4C1B-B072-A9ABB2F1106A}" scale="85" topLeftCell="A7">
      <pane xSplit="1" ySplit="3" topLeftCell="B10" activePane="bottomRight" state="frozen"/>
      <selection pane="bottomRight" activeCell="M204" sqref="M204"/>
      <pageMargins left="0" right="0" top="0" bottom="0" header="0" footer="0"/>
    </customSheetView>
    <customSheetView guid="{50528D02-548E-47E0-94D7-D1E79CD3569C}" scale="85" topLeftCell="A7">
      <pane xSplit="1" ySplit="3" topLeftCell="B10" activePane="bottomRight" state="frozen"/>
      <selection pane="bottomRight" activeCell="M204" sqref="M204"/>
      <pageMargins left="0" right="0" top="0" bottom="0" header="0" footer="0"/>
    </customSheetView>
  </customSheetViews>
  <mergeCells count="2">
    <mergeCell ref="D7:E7"/>
    <mergeCell ref="G7:H7"/>
  </mergeCells>
  <pageMargins left="0" right="0" top="0" bottom="0" header="0" footer="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H1"/>
  <sheetViews>
    <sheetView topLeftCell="A8" zoomScale="70" zoomScaleNormal="70" workbookViewId="0">
      <pane xSplit="1" ySplit="3" topLeftCell="B14" activePane="bottomRight" state="frozen"/>
      <selection activeCell="A8" sqref="A8"/>
      <selection pane="topRight" activeCell="B8" sqref="B8"/>
      <selection pane="bottomLeft" activeCell="A11" sqref="A11"/>
      <selection pane="bottomRight" activeCell="F21" sqref="F21"/>
    </sheetView>
  </sheetViews>
  <sheetFormatPr defaultRowHeight="18" customHeight="1" x14ac:dyDescent="0.2"/>
  <cols>
    <col min="1" max="1" width="39" style="1" customWidth="1"/>
    <col min="2" max="2" width="13.28515625" style="69" customWidth="1"/>
    <col min="3" max="3" width="12.42578125" style="69" customWidth="1"/>
    <col min="4" max="4" width="10.5703125" style="69" customWidth="1"/>
    <col min="5" max="5" width="8.7109375" style="1" customWidth="1"/>
    <col min="6" max="6" width="11.42578125" style="69" customWidth="1"/>
    <col min="7" max="7" width="9.140625" style="1"/>
    <col min="8" max="8" width="14.28515625" style="70" customWidth="1"/>
    <col min="9" max="9" width="8.7109375" style="1" customWidth="1"/>
    <col min="10" max="16384" width="9.140625" style="1"/>
  </cols>
  <sheetData/>
  <customSheetViews>
    <customSheetView guid="{AEFEB150-9213-45F5-A178-7AC71E46DB11}" scale="70" topLeftCell="A8">
      <pane xSplit="1" ySplit="3" topLeftCell="B14" activePane="bottomRight" state="frozen"/>
      <selection pane="bottomRight" activeCell="F21" sqref="F21"/>
      <pageMargins left="0" right="0" top="0" bottom="0" header="0" footer="0"/>
      <pageSetup orientation="portrait" r:id="rId1"/>
    </customSheetView>
    <customSheetView guid="{AB763728-FC8E-40B1-8BAD-FF6772AD9A46}" scale="70" topLeftCell="A8">
      <pane xSplit="1" ySplit="3" topLeftCell="B14" activePane="bottomRight" state="frozen"/>
      <selection pane="bottomRight" activeCell="F21" sqref="F21"/>
      <pageMargins left="0" right="0" top="0" bottom="0" header="0" footer="0"/>
      <pageSetup orientation="portrait" r:id="rId2"/>
    </customSheetView>
    <customSheetView guid="{08B0A6E6-0C62-4331-9E9A-05DFF5B8DF5B}" scale="70">
      <selection activeCell="D22" sqref="D22"/>
      <pageMargins left="0" right="0" top="0" bottom="0" header="0" footer="0"/>
      <pageSetup orientation="portrait" r:id="rId3"/>
    </customSheetView>
    <customSheetView guid="{70E2A0B1-0EA6-43AE-8715-395179465BE5}" scale="70">
      <pageMargins left="0" right="0" top="0" bottom="0" header="0" footer="0"/>
      <pageSetup orientation="portrait" r:id="rId4"/>
    </customSheetView>
    <customSheetView guid="{34052DE1-5E82-4B7C-8FA6-8E533676FB0A}" scale="70">
      <selection activeCell="I37" sqref="I37"/>
      <pageMargins left="0" right="0" top="0" bottom="0" header="0" footer="0"/>
      <pageSetup orientation="portrait" r:id="rId5"/>
    </customSheetView>
    <customSheetView guid="{A2518DB3-3A80-4035-9307-EC50A7C923F2}" scale="70" topLeftCell="A8">
      <pane xSplit="1" ySplit="3" topLeftCell="B14" activePane="bottomRight" state="frozen"/>
      <selection pane="bottomRight" activeCell="F21" sqref="F21"/>
      <pageMargins left="0" right="0" top="0" bottom="0" header="0" footer="0"/>
      <pageSetup orientation="portrait" r:id="rId6"/>
    </customSheetView>
    <customSheetView guid="{E81D05A4-5B21-42D3-A8D3-906ABCABC0F4}" scale="70" topLeftCell="A8">
      <selection activeCell="I37" sqref="I37"/>
      <pageMargins left="0" right="0" top="0" bottom="0" header="0" footer="0"/>
      <pageSetup orientation="portrait" r:id="rId7"/>
    </customSheetView>
    <customSheetView guid="{E44F5FE1-54FC-4AB3-84F9-7D65ACF2DDE7}" scale="70" hiddenRows="1" topLeftCell="A8">
      <pane xSplit="1" ySplit="3" topLeftCell="B14" activePane="bottomRight" state="frozen"/>
      <selection pane="bottomRight" activeCell="F21" sqref="F21"/>
      <pageMargins left="0" right="0" top="0" bottom="0" header="0" footer="0"/>
      <pageSetup orientation="portrait" r:id="rId8"/>
    </customSheetView>
    <customSheetView guid="{94DA13B6-7351-40F3-8CF7-A4211EC439DA}" scale="70" hiddenRows="1" topLeftCell="A8">
      <pane xSplit="1" ySplit="3" topLeftCell="B14" activePane="bottomRight" state="frozen"/>
      <selection pane="bottomRight" activeCell="F21" sqref="F21"/>
      <pageMargins left="0" right="0" top="0" bottom="0" header="0" footer="0"/>
      <pageSetup orientation="portrait" r:id="rId9"/>
    </customSheetView>
    <customSheetView guid="{8F508F4D-4777-42BE-9707-8CB9355F7BDB}" scale="70" hiddenRows="1" topLeftCell="A8">
      <pane xSplit="1" ySplit="3" topLeftCell="B14" activePane="bottomRight" state="frozen"/>
      <selection pane="bottomRight" activeCell="F21" sqref="F21"/>
      <pageMargins left="0" right="0" top="0" bottom="0" header="0" footer="0"/>
      <pageSetup orientation="portrait" r:id="rId10"/>
    </customSheetView>
    <customSheetView guid="{F784130D-F647-4ABA-8943-C79CA5B0FDC4}" scale="70" hiddenRows="1" topLeftCell="A8">
      <pane xSplit="1" ySplit="3" topLeftCell="B14" activePane="bottomRight" state="frozen"/>
      <selection pane="bottomRight" activeCell="F21" sqref="F21"/>
      <pageMargins left="0" right="0" top="0" bottom="0" header="0" footer="0"/>
      <pageSetup orientation="portrait" r:id="rId11"/>
    </customSheetView>
    <customSheetView guid="{1E5198E1-BA46-4CE0-8628-4F695B0D7A3B}" scale="70" hiddenRows="1" topLeftCell="A8">
      <pane xSplit="1" ySplit="3" topLeftCell="B14" activePane="bottomRight" state="frozen"/>
      <selection pane="bottomRight" activeCell="F21" sqref="F21"/>
      <pageMargins left="0" right="0" top="0" bottom="0" header="0" footer="0"/>
      <pageSetup orientation="portrait" r:id="rId12"/>
    </customSheetView>
    <customSheetView guid="{455630F5-40FC-47DB-8AD4-712C20B8FB91}" scale="70" topLeftCell="A8">
      <pane xSplit="1" ySplit="3" topLeftCell="B14" activePane="bottomRight" state="frozen"/>
      <selection pane="bottomRight" activeCell="F21" sqref="F21"/>
      <pageMargins left="0" right="0" top="0" bottom="0" header="0" footer="0"/>
      <pageSetup orientation="portrait" r:id="rId13"/>
    </customSheetView>
    <customSheetView guid="{9D4F0482-B164-4671-805A-E0D2D4DD4720}" scale="70" topLeftCell="A8">
      <pane xSplit="1" ySplit="3" topLeftCell="B14" activePane="bottomRight" state="frozen"/>
      <selection pane="bottomRight" activeCell="F21" sqref="F21"/>
      <pageMargins left="0" right="0" top="0" bottom="0" header="0" footer="0"/>
      <pageSetup orientation="portrait" r:id="rId14"/>
    </customSheetView>
    <customSheetView guid="{567C3053-2D8E-4705-8DC7-18896C5303CA}" scale="70" showPageBreaks="1" state="hidden" topLeftCell="A8">
      <pane xSplit="1" ySplit="3" topLeftCell="B11" activePane="bottomRight" state="frozen"/>
      <selection pane="bottomRight" activeCell="F21" sqref="F21"/>
      <pageMargins left="0" right="0" top="0" bottom="0" header="0" footer="0"/>
      <pageSetup orientation="portrait" r:id="rId15"/>
    </customSheetView>
    <customSheetView guid="{7A9890A5-7CC2-466F-AA52-39E8D428DC1C}" scale="70" state="hidden" topLeftCell="A8">
      <pane xSplit="1" ySplit="3" topLeftCell="B11" activePane="bottomRight" state="frozen"/>
      <selection pane="bottomRight" activeCell="F21" sqref="F21"/>
      <pageMargins left="0" right="0" top="0" bottom="0" header="0" footer="0"/>
      <pageSetup orientation="portrait" r:id="rId16"/>
    </customSheetView>
    <customSheetView guid="{CBA65C9F-528B-4CA5-AFDD-C38CD40775BB}" scale="70" topLeftCell="A8">
      <pane xSplit="1" ySplit="3" topLeftCell="B14" activePane="bottomRight" state="frozen"/>
      <selection pane="bottomRight" activeCell="F21" sqref="F21"/>
      <pageMargins left="0" right="0" top="0" bottom="0" header="0" footer="0"/>
      <pageSetup orientation="portrait" r:id="rId17"/>
    </customSheetView>
    <customSheetView guid="{78CA186D-B240-44D5-8A24-D241DE0B0FD9}" scale="70">
      <selection activeCell="D22" sqref="D22"/>
      <pageMargins left="0" right="0" top="0" bottom="0" header="0" footer="0"/>
      <pageSetup orientation="portrait" r:id="rId18"/>
    </customSheetView>
    <customSheetView guid="{5102CD51-6323-4C0C-991F-AF8276ECBB13}" scale="70">
      <selection activeCell="D22" sqref="D22"/>
      <pageMargins left="0.7" right="0.7" top="0.75" bottom="0.75" header="0.3" footer="0.3"/>
      <pageSetup orientation="portrait" r:id="rId19"/>
    </customSheetView>
    <customSheetView guid="{FF124C4D-20DF-4C1B-B072-A9ABB2F1106A}" scale="70" topLeftCell="A8">
      <pane xSplit="1" ySplit="3" topLeftCell="B14" activePane="bottomRight" state="frozen"/>
      <selection pane="bottomRight" activeCell="F21" sqref="F21"/>
      <pageMargins left="0" right="0" top="0" bottom="0" header="0" footer="0"/>
      <pageSetup orientation="portrait" r:id="rId20"/>
    </customSheetView>
    <customSheetView guid="{50528D02-548E-47E0-94D7-D1E79CD3569C}" scale="70" topLeftCell="A8">
      <pane xSplit="1" ySplit="3" topLeftCell="B14" activePane="bottomRight" state="frozen"/>
      <selection pane="bottomRight" activeCell="F21" sqref="F21"/>
      <pageMargins left="0" right="0" top="0" bottom="0" header="0" footer="0"/>
      <pageSetup orientation="portrait" r:id="rId21"/>
    </customSheetView>
  </customSheetViews>
  <pageMargins left="0" right="0" top="0" bottom="0" header="0" footer="0"/>
  <pageSetup orientation="portrait" r:id="rId2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3:J46"/>
  <sheetViews>
    <sheetView topLeftCell="A7" zoomScale="85" zoomScaleNormal="85" workbookViewId="0">
      <pane xSplit="1" ySplit="3" topLeftCell="B10" activePane="bottomRight" state="frozen"/>
      <selection activeCell="A7" sqref="A7"/>
      <selection pane="topRight" activeCell="B7" sqref="B7"/>
      <selection pane="bottomLeft" activeCell="A10" sqref="A10"/>
      <selection pane="bottomRight" activeCell="K190" sqref="K190"/>
    </sheetView>
  </sheetViews>
  <sheetFormatPr defaultRowHeight="12.75" x14ac:dyDescent="0.2"/>
  <cols>
    <col min="1" max="1" width="42.7109375" style="24" customWidth="1"/>
    <col min="2" max="2" width="13.5703125" style="25" customWidth="1"/>
    <col min="3" max="3" width="11.7109375" style="25" customWidth="1"/>
    <col min="4" max="4" width="12.140625" style="25" customWidth="1"/>
    <col min="5" max="5" width="9.5703125" customWidth="1"/>
    <col min="6" max="6" width="12.85546875" style="25" bestFit="1" customWidth="1"/>
    <col min="7" max="7" width="12.42578125" style="25" customWidth="1"/>
    <col min="8" max="8" width="12.28515625" style="32" customWidth="1"/>
    <col min="9" max="9" width="24.140625" customWidth="1"/>
    <col min="10" max="11" width="12" customWidth="1"/>
    <col min="12" max="12" width="14.28515625" customWidth="1"/>
  </cols>
  <sheetData>
    <row r="43" spans="7:10" x14ac:dyDescent="0.2">
      <c r="G43" s="698"/>
      <c r="H43" s="698"/>
    </row>
    <row r="46" spans="7:10" x14ac:dyDescent="0.2">
      <c r="G46" s="698"/>
      <c r="H46" s="698"/>
      <c r="J46" s="57"/>
    </row>
  </sheetData>
  <customSheetViews>
    <customSheetView guid="{AEFEB150-9213-45F5-A178-7AC71E46DB11}" scale="85" topLeftCell="A7">
      <pane xSplit="1" ySplit="3" topLeftCell="B10" activePane="bottomRight" state="frozen"/>
      <selection pane="bottomRight" activeCell="K190" sqref="K190"/>
      <pageMargins left="0" right="0" top="0" bottom="0" header="0" footer="0"/>
      <pageSetup orientation="portrait" r:id="rId1"/>
    </customSheetView>
    <customSheetView guid="{AB763728-FC8E-40B1-8BAD-FF6772AD9A46}" scale="85" topLeftCell="A7">
      <pane xSplit="1" ySplit="3" topLeftCell="B10" activePane="bottomRight" state="frozen"/>
      <selection pane="bottomRight" activeCell="K190" sqref="K190"/>
      <pageMargins left="0" right="0" top="0" bottom="0" header="0" footer="0"/>
      <pageSetup orientation="portrait" r:id="rId2"/>
    </customSheetView>
    <customSheetView guid="{08B0A6E6-0C62-4331-9E9A-05DFF5B8DF5B}" scale="85" topLeftCell="A7">
      <pane xSplit="1" ySplit="1" topLeftCell="B8" activePane="bottomRight" state="frozen"/>
      <selection pane="bottomRight" activeCell="I42" sqref="I42"/>
      <pageMargins left="0" right="0" top="0" bottom="0" header="0" footer="0"/>
      <pageSetup orientation="portrait" r:id="rId3"/>
    </customSheetView>
    <customSheetView guid="{70E2A0B1-0EA6-43AE-8715-395179465BE5}" scale="85" topLeftCell="A7">
      <pane xSplit="1" ySplit="1" topLeftCell="B8" activePane="bottomRight" state="frozen"/>
      <selection pane="bottomRight" activeCell="I42" sqref="I42"/>
      <pageMargins left="0" right="0" top="0" bottom="0" header="0" footer="0"/>
      <pageSetup orientation="portrait" r:id="rId4"/>
    </customSheetView>
    <customSheetView guid="{34052DE1-5E82-4B7C-8FA6-8E533676FB0A}" scale="85" topLeftCell="A7">
      <pane xSplit="1" ySplit="1" topLeftCell="B8" activePane="bottomRight" state="frozen"/>
      <selection pane="bottomRight" activeCell="I42" sqref="I42"/>
      <pageMargins left="0" right="0" top="0" bottom="0" header="0" footer="0"/>
      <pageSetup orientation="portrait" r:id="rId5"/>
    </customSheetView>
    <customSheetView guid="{A2518DB3-3A80-4035-9307-EC50A7C923F2}" scale="85" topLeftCell="A7">
      <pane xSplit="1" ySplit="3" topLeftCell="H181" activePane="bottomRight" state="frozen"/>
      <selection pane="bottomRight" activeCell="M194" sqref="M194"/>
      <pageMargins left="0" right="0" top="0" bottom="0" header="0" footer="0"/>
      <pageSetup orientation="portrait" r:id="rId6"/>
    </customSheetView>
    <customSheetView guid="{E81D05A4-5B21-42D3-A8D3-906ABCABC0F4}" scale="85" topLeftCell="A7">
      <pane xSplit="1" ySplit="1" topLeftCell="B8" activePane="bottomRight" state="frozen"/>
      <selection pane="bottomRight" activeCell="I42" sqref="I42"/>
      <pageMargins left="0" right="0" top="0" bottom="0" header="0" footer="0"/>
      <pageSetup orientation="portrait" r:id="rId7"/>
    </customSheetView>
    <customSheetView guid="{E44F5FE1-54FC-4AB3-84F9-7D65ACF2DDE7}" scale="85" hiddenRows="1" topLeftCell="A7">
      <pane xSplit="1" ySplit="3" topLeftCell="J10" activePane="bottomRight" state="frozen"/>
      <selection pane="bottomRight" activeCell="N10" sqref="N10"/>
      <pageMargins left="0" right="0" top="0" bottom="0" header="0" footer="0"/>
      <pageSetup orientation="portrait" r:id="rId8"/>
    </customSheetView>
    <customSheetView guid="{94DA13B6-7351-40F3-8CF7-A4211EC439DA}" scale="85" hiddenRows="1" topLeftCell="A7">
      <pane xSplit="1" ySplit="3" topLeftCell="B10" activePane="bottomRight" state="frozen"/>
      <selection pane="bottomRight" activeCell="K190" sqref="K190"/>
      <pageMargins left="0" right="0" top="0" bottom="0" header="0" footer="0"/>
      <pageSetup orientation="portrait" r:id="rId9"/>
    </customSheetView>
    <customSheetView guid="{8F508F4D-4777-42BE-9707-8CB9355F7BDB}" scale="85" hiddenRows="1" topLeftCell="A7">
      <pane xSplit="1" ySplit="3" topLeftCell="B10" activePane="bottomRight" state="frozen"/>
      <selection pane="bottomRight" activeCell="K190" sqref="K190"/>
      <pageMargins left="0" right="0" top="0" bottom="0" header="0" footer="0"/>
      <pageSetup orientation="portrait" r:id="rId10"/>
    </customSheetView>
    <customSheetView guid="{F784130D-F647-4ABA-8943-C79CA5B0FDC4}" scale="85" hiddenRows="1" topLeftCell="A7">
      <pane xSplit="1" ySplit="3" topLeftCell="B214" activePane="bottomRight" state="frozen"/>
      <selection pane="bottomRight" activeCell="M194" sqref="M194"/>
      <pageMargins left="0" right="0" top="0" bottom="0" header="0" footer="0"/>
      <pageSetup orientation="portrait" r:id="rId11"/>
    </customSheetView>
    <customSheetView guid="{1E5198E1-BA46-4CE0-8628-4F695B0D7A3B}" scale="85" hiddenRows="1" topLeftCell="A7">
      <pane xSplit="1" ySplit="3" topLeftCell="J10" activePane="bottomRight" state="frozen"/>
      <selection pane="bottomRight" activeCell="N10" sqref="N10"/>
      <pageMargins left="0" right="0" top="0" bottom="0" header="0" footer="0"/>
      <pageSetup orientation="portrait" r:id="rId12"/>
    </customSheetView>
    <customSheetView guid="{455630F5-40FC-47DB-8AD4-712C20B8FB91}" scale="85" topLeftCell="A7">
      <pane xSplit="1" ySplit="3" topLeftCell="H181" activePane="bottomRight" state="frozen"/>
      <selection pane="bottomRight" activeCell="M194" sqref="M194"/>
      <pageMargins left="0" right="0" top="0" bottom="0" header="0" footer="0"/>
      <pageSetup orientation="portrait" r:id="rId13"/>
    </customSheetView>
    <customSheetView guid="{9D4F0482-B164-4671-805A-E0D2D4DD4720}" scale="85" topLeftCell="A7">
      <pane xSplit="1" ySplit="3" topLeftCell="H181" activePane="bottomRight" state="frozen"/>
      <selection pane="bottomRight" activeCell="M194" sqref="M194"/>
      <pageMargins left="0" right="0" top="0" bottom="0" header="0" footer="0"/>
      <pageSetup orientation="portrait" r:id="rId14"/>
    </customSheetView>
    <customSheetView guid="{567C3053-2D8E-4705-8DC7-18896C5303CA}" scale="85" showPageBreaks="1" state="hidden" topLeftCell="A7">
      <pane xSplit="1" ySplit="3" topLeftCell="J163" activePane="bottomRight" state="frozen"/>
      <selection pane="bottomRight" activeCell="O172" sqref="O172"/>
      <pageMargins left="0" right="0" top="0" bottom="0" header="0" footer="0"/>
      <pageSetup orientation="portrait" r:id="rId15"/>
    </customSheetView>
    <customSheetView guid="{7A9890A5-7CC2-466F-AA52-39E8D428DC1C}" scale="85" state="hidden" topLeftCell="A7">
      <pane xSplit="1" ySplit="3" topLeftCell="J163" activePane="bottomRight" state="frozen"/>
      <selection pane="bottomRight" activeCell="O172" sqref="O172"/>
      <pageMargins left="0" right="0" top="0" bottom="0" header="0" footer="0"/>
      <pageSetup orientation="portrait" r:id="rId16"/>
    </customSheetView>
    <customSheetView guid="{CBA65C9F-528B-4CA5-AFDD-C38CD40775BB}" scale="85" topLeftCell="A7">
      <pane xSplit="1" ySplit="3" topLeftCell="B10" activePane="bottomRight" state="frozen"/>
      <selection pane="bottomRight" activeCell="K190" sqref="K190"/>
      <pageMargins left="0" right="0" top="0" bottom="0" header="0" footer="0"/>
      <pageSetup orientation="portrait" r:id="rId17"/>
    </customSheetView>
    <customSheetView guid="{78CA186D-B240-44D5-8A24-D241DE0B0FD9}" scale="85" topLeftCell="A7">
      <pane xSplit="1" ySplit="1" topLeftCell="B8" activePane="bottomRight" state="frozen"/>
      <selection pane="bottomRight" activeCell="I42" sqref="I42"/>
      <pageMargins left="0" right="0" top="0" bottom="0" header="0" footer="0"/>
      <pageSetup orientation="portrait" r:id="rId18"/>
    </customSheetView>
    <customSheetView guid="{5102CD51-6323-4C0C-991F-AF8276ECBB13}" scale="85" topLeftCell="A7">
      <pane xSplit="1" ySplit="1" topLeftCell="B8" activePane="bottomRight" state="frozen"/>
      <selection pane="bottomRight" activeCell="I42" sqref="I42"/>
      <pageMargins left="0.7" right="0.7" top="0.75" bottom="0.75" header="0.3" footer="0.3"/>
      <pageSetup orientation="portrait" r:id="rId19"/>
    </customSheetView>
    <customSheetView guid="{FF124C4D-20DF-4C1B-B072-A9ABB2F1106A}" scale="85" topLeftCell="A7">
      <pane xSplit="1" ySplit="3" topLeftCell="H181" activePane="bottomRight" state="frozen"/>
      <selection pane="bottomRight" activeCell="M194" sqref="M194"/>
      <pageMargins left="0" right="0" top="0" bottom="0" header="0" footer="0"/>
      <pageSetup orientation="portrait" r:id="rId20"/>
    </customSheetView>
    <customSheetView guid="{50528D02-548E-47E0-94D7-D1E79CD3569C}" scale="85" topLeftCell="A7">
      <pane xSplit="1" ySplit="3" topLeftCell="H181" activePane="bottomRight" state="frozen"/>
      <selection pane="bottomRight" activeCell="M194" sqref="M194"/>
      <pageMargins left="0" right="0" top="0" bottom="0" header="0" footer="0"/>
      <pageSetup orientation="portrait" r:id="rId21"/>
    </customSheetView>
  </customSheetViews>
  <pageMargins left="0" right="0" top="0" bottom="0" header="0" footer="0"/>
  <pageSetup orientation="portrait" r:id="rId2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O60"/>
  <sheetViews>
    <sheetView workbookViewId="0">
      <selection activeCell="B59" sqref="B59"/>
    </sheetView>
  </sheetViews>
  <sheetFormatPr defaultRowHeight="12.75" x14ac:dyDescent="0.2"/>
  <cols>
    <col min="1" max="1" width="10.85546875" customWidth="1"/>
    <col min="15" max="15" width="11.7109375" bestFit="1" customWidth="1"/>
  </cols>
  <sheetData>
    <row r="2" spans="1:8" x14ac:dyDescent="0.2">
      <c r="A2" s="57"/>
    </row>
    <row r="3" spans="1:8" x14ac:dyDescent="0.2">
      <c r="A3" s="57"/>
    </row>
    <row r="4" spans="1:8" x14ac:dyDescent="0.2">
      <c r="A4" s="57"/>
    </row>
    <row r="6" spans="1:8" x14ac:dyDescent="0.2">
      <c r="A6" s="29"/>
      <c r="H6" s="57"/>
    </row>
    <row r="7" spans="1:8" x14ac:dyDescent="0.2">
      <c r="A7" s="57"/>
    </row>
    <row r="8" spans="1:8" x14ac:dyDescent="0.2">
      <c r="A8" s="57"/>
    </row>
    <row r="9" spans="1:8" x14ac:dyDescent="0.2">
      <c r="A9" s="57"/>
    </row>
    <row r="10" spans="1:8" x14ac:dyDescent="0.2">
      <c r="A10" s="57"/>
    </row>
    <row r="11" spans="1:8" x14ac:dyDescent="0.2">
      <c r="A11" s="57"/>
    </row>
    <row r="13" spans="1:8" x14ac:dyDescent="0.2">
      <c r="A13" s="11"/>
    </row>
    <row r="14" spans="1:8" x14ac:dyDescent="0.2">
      <c r="A14" s="57"/>
    </row>
    <row r="15" spans="1:8" x14ac:dyDescent="0.2">
      <c r="A15" s="11"/>
    </row>
    <row r="16" spans="1:8" x14ac:dyDescent="0.2">
      <c r="A16" s="57"/>
    </row>
    <row r="17" spans="1:15" x14ac:dyDescent="0.2">
      <c r="A17" s="57"/>
    </row>
    <row r="18" spans="1:15" x14ac:dyDescent="0.2">
      <c r="A18" s="57"/>
    </row>
    <row r="19" spans="1:15" x14ac:dyDescent="0.2">
      <c r="A19" s="29"/>
    </row>
    <row r="21" spans="1:15" x14ac:dyDescent="0.2">
      <c r="A21" s="29"/>
    </row>
    <row r="22" spans="1:15" x14ac:dyDescent="0.2">
      <c r="A22" s="57"/>
    </row>
    <row r="23" spans="1:15" x14ac:dyDescent="0.2">
      <c r="A23" s="57"/>
    </row>
    <row r="24" spans="1:15" x14ac:dyDescent="0.2">
      <c r="A24" s="11"/>
    </row>
    <row r="25" spans="1:15" x14ac:dyDescent="0.2">
      <c r="A25" s="29"/>
    </row>
    <row r="26" spans="1:15" x14ac:dyDescent="0.2">
      <c r="A26" s="57"/>
    </row>
    <row r="27" spans="1:15" x14ac:dyDescent="0.2">
      <c r="A27" s="57"/>
    </row>
    <row r="28" spans="1:15" x14ac:dyDescent="0.2">
      <c r="A28" s="57"/>
      <c r="O28" s="72"/>
    </row>
    <row r="29" spans="1:15" x14ac:dyDescent="0.2">
      <c r="A29" s="57"/>
    </row>
    <row r="30" spans="1:15" x14ac:dyDescent="0.2">
      <c r="A30" s="29"/>
    </row>
    <row r="31" spans="1:15" x14ac:dyDescent="0.2">
      <c r="A31" s="57"/>
    </row>
    <row r="32" spans="1:15" x14ac:dyDescent="0.2">
      <c r="A32" s="57"/>
    </row>
    <row r="33" spans="1:6" x14ac:dyDescent="0.2">
      <c r="A33" s="57"/>
    </row>
    <row r="34" spans="1:6" x14ac:dyDescent="0.2">
      <c r="A34" s="57"/>
    </row>
    <row r="35" spans="1:6" x14ac:dyDescent="0.2">
      <c r="A35" s="29"/>
    </row>
    <row r="38" spans="1:6" x14ac:dyDescent="0.2">
      <c r="A38" s="29"/>
    </row>
    <row r="41" spans="1:6" x14ac:dyDescent="0.2">
      <c r="A41" s="57"/>
    </row>
    <row r="42" spans="1:6" x14ac:dyDescent="0.2">
      <c r="A42" s="57"/>
      <c r="B42" s="17"/>
      <c r="C42" s="17"/>
      <c r="D42" s="17"/>
    </row>
    <row r="43" spans="1:6" x14ac:dyDescent="0.2">
      <c r="A43" s="57"/>
      <c r="B43" s="17"/>
      <c r="D43" s="17"/>
    </row>
    <row r="44" spans="1:6" x14ac:dyDescent="0.2">
      <c r="A44" s="57"/>
      <c r="B44" s="17"/>
      <c r="D44" s="17"/>
    </row>
    <row r="45" spans="1:6" x14ac:dyDescent="0.2">
      <c r="A45" s="57"/>
      <c r="B45" s="17"/>
      <c r="C45" s="17"/>
      <c r="F45" s="33"/>
    </row>
    <row r="46" spans="1:6" x14ac:dyDescent="0.2">
      <c r="A46" s="57"/>
      <c r="F46" s="33"/>
    </row>
    <row r="47" spans="1:6" x14ac:dyDescent="0.2">
      <c r="A47" s="57"/>
      <c r="F47" s="33"/>
    </row>
    <row r="48" spans="1:6" x14ac:dyDescent="0.2">
      <c r="A48" s="57"/>
      <c r="F48" s="33"/>
    </row>
    <row r="49" spans="1:6" x14ac:dyDescent="0.2">
      <c r="A49" s="57"/>
      <c r="F49" s="33"/>
    </row>
    <row r="50" spans="1:6" x14ac:dyDescent="0.2">
      <c r="A50" s="57"/>
      <c r="F50" s="33"/>
    </row>
    <row r="51" spans="1:6" x14ac:dyDescent="0.2">
      <c r="A51" s="57"/>
      <c r="F51" s="33"/>
    </row>
    <row r="52" spans="1:6" x14ac:dyDescent="0.2">
      <c r="A52" s="57"/>
    </row>
    <row r="53" spans="1:6" x14ac:dyDescent="0.2">
      <c r="A53" s="57"/>
      <c r="B53" s="17"/>
      <c r="C53" s="17"/>
    </row>
    <row r="54" spans="1:6" x14ac:dyDescent="0.2">
      <c r="A54" s="57"/>
      <c r="B54" s="17"/>
    </row>
    <row r="55" spans="1:6" x14ac:dyDescent="0.2">
      <c r="A55" s="57"/>
      <c r="B55" s="17"/>
    </row>
    <row r="56" spans="1:6" x14ac:dyDescent="0.2">
      <c r="B56" s="17"/>
      <c r="C56" s="17"/>
    </row>
    <row r="57" spans="1:6" x14ac:dyDescent="0.2">
      <c r="B57" s="17"/>
    </row>
    <row r="59" spans="1:6" x14ac:dyDescent="0.2">
      <c r="B59" s="17"/>
    </row>
    <row r="60" spans="1:6" x14ac:dyDescent="0.2">
      <c r="B60" s="17"/>
    </row>
  </sheetData>
  <customSheetViews>
    <customSheetView guid="{AEFEB150-9213-45F5-A178-7AC71E46DB11}">
      <selection activeCell="B59" sqref="B59"/>
      <pageMargins left="0" right="0" top="0" bottom="0" header="0" footer="0"/>
      <pageSetup paperSize="0" orientation="portrait" r:id="rId1"/>
    </customSheetView>
    <customSheetView guid="{AB763728-FC8E-40B1-8BAD-FF6772AD9A46}">
      <selection activeCell="B59" sqref="B59"/>
      <pageMargins left="0" right="0" top="0" bottom="0" header="0" footer="0"/>
      <pageSetup paperSize="0" orientation="portrait" r:id="rId2"/>
    </customSheetView>
    <customSheetView guid="{08B0A6E6-0C62-4331-9E9A-05DFF5B8DF5B}">
      <selection activeCell="O28" sqref="O28"/>
      <pageMargins left="0" right="0" top="0" bottom="0" header="0" footer="0"/>
      <pageSetup orientation="portrait" r:id="rId3"/>
    </customSheetView>
    <customSheetView guid="{70E2A0B1-0EA6-43AE-8715-395179465BE5}">
      <selection activeCell="O28" sqref="O28"/>
      <pageMargins left="0" right="0" top="0" bottom="0" header="0" footer="0"/>
      <pageSetup orientation="portrait" r:id="rId4"/>
    </customSheetView>
    <customSheetView guid="{34052DE1-5E82-4B7C-8FA6-8E533676FB0A}">
      <pageMargins left="0" right="0" top="0" bottom="0" header="0" footer="0"/>
      <pageSetup orientation="portrait" r:id="rId5"/>
    </customSheetView>
    <customSheetView guid="{A2518DB3-3A80-4035-9307-EC50A7C923F2}">
      <selection activeCell="B59" sqref="B59"/>
      <pageMargins left="0" right="0" top="0" bottom="0" header="0" footer="0"/>
      <pageSetup orientation="portrait" r:id="rId6"/>
    </customSheetView>
    <customSheetView guid="{E81D05A4-5B21-42D3-A8D3-906ABCABC0F4}" topLeftCell="A41">
      <selection activeCell="C49" sqref="C49"/>
      <pageMargins left="0" right="0" top="0" bottom="0" header="0" footer="0"/>
      <pageSetup orientation="portrait" r:id="rId7"/>
    </customSheetView>
    <customSheetView guid="{E44F5FE1-54FC-4AB3-84F9-7D65ACF2DDE7}" topLeftCell="A28">
      <selection activeCell="K49" sqref="K49"/>
      <pageMargins left="0" right="0" top="0" bottom="0" header="0" footer="0"/>
      <pageSetup orientation="portrait" r:id="rId8"/>
    </customSheetView>
    <customSheetView guid="{F784130D-F647-4ABA-8943-C79CA5B0FDC4}">
      <selection activeCell="D15" sqref="B8:D15"/>
      <pageMargins left="0" right="0" top="0" bottom="0" header="0" footer="0"/>
    </customSheetView>
    <customSheetView guid="{1E5198E1-BA46-4CE0-8628-4F695B0D7A3B}">
      <selection activeCell="A14" sqref="A14:IV14"/>
      <pageMargins left="0" right="0" top="0" bottom="0" header="0" footer="0"/>
    </customSheetView>
    <customSheetView guid="{455630F5-40FC-47DB-8AD4-712C20B8FB91}">
      <selection activeCell="B59" sqref="B59"/>
      <pageMargins left="0" right="0" top="0" bottom="0" header="0" footer="0"/>
      <pageSetup orientation="portrait" r:id="rId9"/>
    </customSheetView>
    <customSheetView guid="{9D4F0482-B164-4671-805A-E0D2D4DD4720}">
      <selection activeCell="A53" sqref="A53:IV53"/>
      <pageMargins left="0" right="0" top="0" bottom="0" header="0" footer="0"/>
    </customSheetView>
    <customSheetView guid="{567C3053-2D8E-4705-8DC7-18896C5303CA}" showPageBreaks="1" state="hidden">
      <selection activeCell="B59" sqref="B59"/>
      <pageMargins left="0" right="0" top="0" bottom="0" header="0" footer="0"/>
      <pageSetup orientation="portrait" r:id="rId10"/>
    </customSheetView>
    <customSheetView guid="{7A9890A5-7CC2-466F-AA52-39E8D428DC1C}" state="hidden">
      <selection activeCell="B59" sqref="B59"/>
      <pageMargins left="0" right="0" top="0" bottom="0" header="0" footer="0"/>
      <pageSetup orientation="portrait" r:id="rId11"/>
    </customSheetView>
    <customSheetView guid="{CBA65C9F-528B-4CA5-AFDD-C38CD40775BB}">
      <selection activeCell="B59" sqref="B59"/>
      <pageMargins left="0" right="0" top="0" bottom="0" header="0" footer="0"/>
      <pageSetup paperSize="0" orientation="portrait" r:id="rId12"/>
    </customSheetView>
    <customSheetView guid="{78CA186D-B240-44D5-8A24-D241DE0B0FD9}">
      <selection activeCell="O28" sqref="O28"/>
      <pageMargins left="0" right="0" top="0" bottom="0" header="0" footer="0"/>
      <pageSetup orientation="portrait" r:id="rId13"/>
    </customSheetView>
    <customSheetView guid="{5102CD51-6323-4C0C-991F-AF8276ECBB13}">
      <selection activeCell="O28" sqref="O28"/>
      <pageMargins left="0.7" right="0.7" top="0.75" bottom="0.75" header="0.3" footer="0.3"/>
      <pageSetup orientation="portrait" r:id="rId14"/>
    </customSheetView>
    <customSheetView guid="{FF124C4D-20DF-4C1B-B072-A9ABB2F1106A}">
      <selection activeCell="B59" sqref="B59"/>
      <pageMargins left="0" right="0" top="0" bottom="0" header="0" footer="0"/>
      <pageSetup orientation="portrait" r:id="rId15"/>
    </customSheetView>
    <customSheetView guid="{50528D02-548E-47E0-94D7-D1E79CD3569C}">
      <selection activeCell="B59" sqref="B59"/>
      <pageMargins left="0" right="0" top="0" bottom="0" header="0" footer="0"/>
      <pageSetup orientation="portrait" r:id="rId16"/>
    </customSheetView>
  </customSheetViews>
  <pageMargins left="0" right="0" top="0" bottom="0" header="0" footer="0"/>
  <pageSetup paperSize="0" orientation="portrait" r:id="rId17"/>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S64"/>
  <sheetViews>
    <sheetView topLeftCell="A7" zoomScale="80" zoomScaleNormal="80" workbookViewId="0">
      <pane xSplit="1" ySplit="4" topLeftCell="B11" activePane="bottomRight" state="frozen"/>
      <selection activeCell="A7" sqref="A7"/>
      <selection pane="topRight" activeCell="B7" sqref="B7"/>
      <selection pane="bottomLeft" activeCell="A11" sqref="A11"/>
      <selection pane="bottomRight" activeCell="A10" sqref="A10"/>
    </sheetView>
  </sheetViews>
  <sheetFormatPr defaultRowHeight="19.5" customHeight="1" x14ac:dyDescent="0.2"/>
  <cols>
    <col min="1" max="1" width="67.85546875" customWidth="1"/>
    <col min="2" max="7" width="15.140625" customWidth="1"/>
    <col min="8" max="11" width="14.7109375" customWidth="1"/>
    <col min="12" max="12" width="14" customWidth="1"/>
    <col min="13" max="16" width="13.7109375" customWidth="1"/>
    <col min="17" max="17" width="13.7109375" style="12" customWidth="1"/>
    <col min="18" max="18" width="13.28515625" customWidth="1"/>
    <col min="19" max="19" width="13.7109375" customWidth="1"/>
    <col min="20" max="20" width="11.5703125" style="12" customWidth="1"/>
    <col min="21" max="21" width="15.140625" customWidth="1"/>
    <col min="22" max="22" width="13.7109375" customWidth="1"/>
    <col min="23" max="23" width="13.7109375" style="12" customWidth="1"/>
    <col min="24" max="24" width="12.42578125" customWidth="1"/>
    <col min="25" max="25" width="13.5703125" customWidth="1"/>
    <col min="26" max="26" width="14" style="12" customWidth="1"/>
    <col min="27" max="27" width="15.140625" customWidth="1"/>
    <col min="28" max="28" width="15.42578125" customWidth="1"/>
    <col min="29" max="29" width="14.42578125" customWidth="1"/>
    <col min="30" max="31" width="15.140625" customWidth="1"/>
    <col min="32" max="32" width="16.28515625" customWidth="1"/>
    <col min="33" max="33" width="15.140625" customWidth="1"/>
    <col min="34" max="34" width="16.85546875" customWidth="1"/>
    <col min="35" max="35" width="14.5703125" customWidth="1"/>
    <col min="36" max="36" width="14.7109375" style="5" customWidth="1"/>
    <col min="37" max="37" width="15.28515625" style="5" customWidth="1"/>
    <col min="38" max="38" width="14.5703125" style="5" customWidth="1"/>
    <col min="39" max="39" width="18.140625" style="5" customWidth="1"/>
    <col min="40" max="40" width="14.85546875" style="5" customWidth="1"/>
    <col min="41" max="41" width="9.5703125" style="5" bestFit="1" customWidth="1"/>
    <col min="42" max="42" width="18.140625" style="5" customWidth="1"/>
    <col min="43" max="43" width="15" style="5" customWidth="1"/>
    <col min="44" max="44" width="14.140625" style="5" customWidth="1"/>
    <col min="45" max="45" width="18.140625" style="5" customWidth="1"/>
    <col min="46" max="47" width="15.140625" style="5" customWidth="1"/>
    <col min="48" max="48" width="14.140625" style="5" customWidth="1"/>
    <col min="49" max="49" width="13.5703125" style="5" customWidth="1"/>
    <col min="50" max="50" width="15" style="5" customWidth="1"/>
    <col min="51" max="71" width="9.140625" style="5" customWidth="1"/>
  </cols>
  <sheetData>
    <row r="1" spans="1:71" ht="19.5" customHeight="1" x14ac:dyDescent="0.35">
      <c r="A1" s="2" t="s">
        <v>0</v>
      </c>
      <c r="B1" s="2"/>
      <c r="C1" s="2"/>
      <c r="D1" s="2"/>
      <c r="E1" s="2"/>
      <c r="F1" s="2"/>
      <c r="G1" s="2"/>
      <c r="H1" s="2"/>
      <c r="I1" s="2"/>
      <c r="J1" s="2"/>
      <c r="K1" s="2"/>
    </row>
    <row r="2" spans="1:71" ht="19.5" customHeight="1" x14ac:dyDescent="0.35">
      <c r="A2" s="2" t="s">
        <v>17</v>
      </c>
      <c r="B2" s="2"/>
      <c r="C2" s="2"/>
      <c r="D2" s="2"/>
      <c r="E2" s="2"/>
      <c r="F2" s="2"/>
      <c r="G2" s="2"/>
      <c r="H2" s="2"/>
      <c r="I2" s="2"/>
      <c r="J2" s="2"/>
      <c r="K2" s="2"/>
    </row>
    <row r="4" spans="1:71" ht="19.5" customHeight="1" x14ac:dyDescent="0.2">
      <c r="A4" s="1" t="s">
        <v>18</v>
      </c>
      <c r="B4" s="1"/>
      <c r="C4" s="1"/>
      <c r="D4" s="1"/>
      <c r="E4" s="1"/>
      <c r="F4" s="1"/>
      <c r="G4" s="1"/>
      <c r="H4" s="1"/>
      <c r="I4" s="1"/>
      <c r="J4" s="1"/>
      <c r="K4" s="1"/>
    </row>
    <row r="5" spans="1:71" ht="19.5" customHeight="1" x14ac:dyDescent="0.2">
      <c r="A5" s="1" t="s">
        <v>19</v>
      </c>
      <c r="B5" s="1"/>
      <c r="C5" s="1"/>
      <c r="D5" s="1"/>
      <c r="E5" s="1"/>
      <c r="F5" s="1"/>
      <c r="G5" s="1"/>
      <c r="H5" s="1"/>
      <c r="I5" s="1"/>
      <c r="J5" s="1"/>
      <c r="K5" s="1"/>
    </row>
    <row r="6" spans="1:71" ht="19.5" customHeight="1" x14ac:dyDescent="0.2">
      <c r="A6" s="16" t="s">
        <v>20</v>
      </c>
      <c r="B6" s="16"/>
      <c r="C6" s="16"/>
      <c r="D6" s="16"/>
      <c r="E6" s="16"/>
      <c r="F6" s="16"/>
      <c r="G6" s="16"/>
      <c r="H6" s="16"/>
      <c r="I6" s="16"/>
      <c r="J6" s="16"/>
      <c r="K6" s="16"/>
      <c r="L6" s="6"/>
      <c r="M6" s="6"/>
      <c r="N6" s="6"/>
      <c r="O6" s="6"/>
      <c r="P6" s="6"/>
      <c r="Q6" s="14"/>
    </row>
    <row r="7" spans="1:71" ht="24" customHeight="1" x14ac:dyDescent="0.35">
      <c r="A7" s="73" t="s">
        <v>0</v>
      </c>
      <c r="B7" s="2"/>
      <c r="C7" s="2"/>
      <c r="D7" s="2"/>
      <c r="E7" s="2"/>
      <c r="F7" s="2"/>
      <c r="G7" s="2"/>
      <c r="H7" s="2"/>
      <c r="I7" s="2"/>
      <c r="J7" s="2"/>
      <c r="K7" s="2"/>
      <c r="L7" s="6"/>
      <c r="M7" s="6"/>
      <c r="N7" s="6"/>
      <c r="O7" s="6"/>
      <c r="P7" s="6"/>
      <c r="Q7" s="14"/>
    </row>
    <row r="8" spans="1:71" ht="27" customHeight="1" x14ac:dyDescent="0.35">
      <c r="A8" s="74" t="s">
        <v>21</v>
      </c>
      <c r="B8" s="62"/>
      <c r="C8" s="62"/>
      <c r="D8" s="62"/>
      <c r="E8" s="62"/>
      <c r="F8" s="62"/>
      <c r="G8" s="62"/>
      <c r="H8" s="62"/>
      <c r="I8" s="62"/>
      <c r="J8" s="2"/>
      <c r="K8" s="2"/>
      <c r="L8" s="4"/>
      <c r="M8" s="4"/>
      <c r="N8" s="4"/>
      <c r="O8" s="4"/>
      <c r="P8" s="4"/>
      <c r="Q8" s="13"/>
      <c r="R8" s="4"/>
      <c r="S8" s="6"/>
      <c r="U8" s="4"/>
      <c r="X8" s="4"/>
      <c r="AA8" s="6"/>
      <c r="AD8" s="6"/>
      <c r="AE8" s="6"/>
      <c r="AF8" s="6"/>
      <c r="AG8" s="6"/>
      <c r="AJ8" s="63"/>
      <c r="AK8" s="63"/>
      <c r="AL8" s="63"/>
    </row>
    <row r="9" spans="1:71" s="96" customFormat="1" ht="39" customHeight="1" x14ac:dyDescent="0.3">
      <c r="A9" s="75"/>
      <c r="B9" s="81" t="s">
        <v>22</v>
      </c>
      <c r="C9" s="82" t="s">
        <v>23</v>
      </c>
      <c r="D9" s="83" t="s">
        <v>24</v>
      </c>
      <c r="E9" s="83"/>
      <c r="F9" s="81" t="s">
        <v>25</v>
      </c>
      <c r="G9" s="84" t="s">
        <v>26</v>
      </c>
      <c r="H9" s="81"/>
      <c r="I9" s="82" t="s">
        <v>27</v>
      </c>
      <c r="J9" s="85" t="s">
        <v>28</v>
      </c>
      <c r="K9" s="85"/>
      <c r="L9" s="81" t="s">
        <v>29</v>
      </c>
      <c r="M9" s="789" t="s">
        <v>30</v>
      </c>
      <c r="N9" s="790"/>
      <c r="O9" s="82" t="s">
        <v>31</v>
      </c>
      <c r="P9" s="791" t="s">
        <v>32</v>
      </c>
      <c r="Q9" s="792"/>
      <c r="R9" s="81" t="s">
        <v>33</v>
      </c>
      <c r="S9" s="789" t="s">
        <v>34</v>
      </c>
      <c r="T9" s="790"/>
      <c r="U9" s="86" t="s">
        <v>35</v>
      </c>
      <c r="V9" s="791" t="s">
        <v>36</v>
      </c>
      <c r="W9" s="792"/>
      <c r="X9" s="87" t="s">
        <v>37</v>
      </c>
      <c r="Y9" s="794" t="s">
        <v>38</v>
      </c>
      <c r="Z9" s="795"/>
      <c r="AA9" s="88" t="s">
        <v>39</v>
      </c>
      <c r="AB9" s="793" t="s">
        <v>40</v>
      </c>
      <c r="AC9" s="792"/>
      <c r="AD9" s="800" t="s">
        <v>41</v>
      </c>
      <c r="AE9" s="798" t="s">
        <v>42</v>
      </c>
      <c r="AF9" s="799"/>
      <c r="AG9" s="802" t="s">
        <v>43</v>
      </c>
      <c r="AH9" s="793" t="s">
        <v>44</v>
      </c>
      <c r="AI9" s="792"/>
      <c r="AJ9" s="89" t="s">
        <v>45</v>
      </c>
      <c r="AK9" s="90" t="s">
        <v>46</v>
      </c>
      <c r="AL9" s="91"/>
      <c r="AM9" s="92" t="s">
        <v>47</v>
      </c>
      <c r="AN9" s="93" t="s">
        <v>48</v>
      </c>
      <c r="AO9" s="94"/>
      <c r="AP9" s="796" t="s">
        <v>49</v>
      </c>
      <c r="AQ9" s="789" t="s">
        <v>50</v>
      </c>
      <c r="AR9" s="790"/>
      <c r="AS9" s="808" t="s">
        <v>51</v>
      </c>
      <c r="AT9" s="791" t="s">
        <v>52</v>
      </c>
      <c r="AU9" s="792"/>
      <c r="AV9" s="804" t="s">
        <v>53</v>
      </c>
      <c r="AW9" s="806" t="s">
        <v>54</v>
      </c>
      <c r="AX9" s="807"/>
      <c r="AY9" s="95"/>
      <c r="AZ9" s="95"/>
      <c r="BA9" s="95"/>
      <c r="BB9" s="95"/>
      <c r="BC9" s="95"/>
      <c r="BD9" s="95"/>
      <c r="BE9" s="95"/>
      <c r="BF9" s="95"/>
      <c r="BG9" s="95"/>
      <c r="BH9" s="95"/>
      <c r="BI9" s="95"/>
      <c r="BJ9" s="95"/>
      <c r="BK9" s="95"/>
      <c r="BL9" s="95"/>
      <c r="BM9" s="95"/>
      <c r="BN9" s="95"/>
      <c r="BO9" s="95"/>
      <c r="BP9" s="95"/>
      <c r="BQ9" s="95"/>
      <c r="BR9" s="95"/>
      <c r="BS9" s="95"/>
    </row>
    <row r="10" spans="1:71" s="96" customFormat="1" ht="36" customHeight="1" x14ac:dyDescent="0.3">
      <c r="A10" s="76" t="s">
        <v>55</v>
      </c>
      <c r="B10" s="97" t="s">
        <v>56</v>
      </c>
      <c r="C10" s="98" t="s">
        <v>56</v>
      </c>
      <c r="D10" s="99" t="s">
        <v>57</v>
      </c>
      <c r="E10" s="99" t="s">
        <v>58</v>
      </c>
      <c r="F10" s="97" t="s">
        <v>56</v>
      </c>
      <c r="G10" s="100" t="s">
        <v>57</v>
      </c>
      <c r="H10" s="100" t="s">
        <v>58</v>
      </c>
      <c r="I10" s="98" t="s">
        <v>56</v>
      </c>
      <c r="J10" s="99" t="s">
        <v>57</v>
      </c>
      <c r="K10" s="99" t="s">
        <v>58</v>
      </c>
      <c r="L10" s="97" t="s">
        <v>56</v>
      </c>
      <c r="M10" s="100" t="s">
        <v>57</v>
      </c>
      <c r="N10" s="101" t="s">
        <v>58</v>
      </c>
      <c r="O10" s="98" t="s">
        <v>56</v>
      </c>
      <c r="P10" s="102" t="s">
        <v>57</v>
      </c>
      <c r="Q10" s="103" t="s">
        <v>58</v>
      </c>
      <c r="R10" s="97" t="s">
        <v>56</v>
      </c>
      <c r="S10" s="104" t="s">
        <v>57</v>
      </c>
      <c r="T10" s="105" t="s">
        <v>58</v>
      </c>
      <c r="U10" s="106" t="s">
        <v>56</v>
      </c>
      <c r="V10" s="102" t="s">
        <v>57</v>
      </c>
      <c r="W10" s="103" t="s">
        <v>58</v>
      </c>
      <c r="X10" s="107" t="s">
        <v>56</v>
      </c>
      <c r="Y10" s="765" t="s">
        <v>57</v>
      </c>
      <c r="Z10" s="105" t="s">
        <v>58</v>
      </c>
      <c r="AA10" s="108" t="s">
        <v>56</v>
      </c>
      <c r="AB10" s="109" t="s">
        <v>57</v>
      </c>
      <c r="AC10" s="103" t="s">
        <v>58</v>
      </c>
      <c r="AD10" s="801"/>
      <c r="AE10" s="100" t="s">
        <v>57</v>
      </c>
      <c r="AF10" s="110" t="s">
        <v>58</v>
      </c>
      <c r="AG10" s="803"/>
      <c r="AH10" s="111" t="s">
        <v>57</v>
      </c>
      <c r="AI10" s="103" t="s">
        <v>58</v>
      </c>
      <c r="AJ10" s="104" t="s">
        <v>56</v>
      </c>
      <c r="AK10" s="100" t="s">
        <v>57</v>
      </c>
      <c r="AL10" s="100" t="s">
        <v>58</v>
      </c>
      <c r="AM10" s="163" t="s">
        <v>56</v>
      </c>
      <c r="AN10" s="111" t="s">
        <v>57</v>
      </c>
      <c r="AO10" s="112" t="s">
        <v>58</v>
      </c>
      <c r="AP10" s="797"/>
      <c r="AQ10" s="100" t="s">
        <v>57</v>
      </c>
      <c r="AR10" s="100" t="s">
        <v>58</v>
      </c>
      <c r="AS10" s="809"/>
      <c r="AT10" s="99" t="s">
        <v>57</v>
      </c>
      <c r="AU10" s="99" t="s">
        <v>58</v>
      </c>
      <c r="AV10" s="805"/>
      <c r="AW10" s="756" t="s">
        <v>57</v>
      </c>
      <c r="AX10" s="756" t="s">
        <v>58</v>
      </c>
      <c r="AY10" s="95"/>
      <c r="AZ10" s="95"/>
      <c r="BA10" s="95"/>
      <c r="BB10" s="95"/>
      <c r="BC10" s="95"/>
      <c r="BD10" s="95"/>
      <c r="BE10" s="95"/>
      <c r="BF10" s="95"/>
      <c r="BG10" s="95"/>
      <c r="BH10" s="95"/>
      <c r="BI10" s="95"/>
      <c r="BJ10" s="95"/>
      <c r="BK10" s="95"/>
      <c r="BL10" s="95"/>
      <c r="BM10" s="95"/>
      <c r="BN10" s="95"/>
      <c r="BO10" s="95"/>
      <c r="BP10" s="95"/>
      <c r="BQ10" s="95"/>
      <c r="BR10" s="95"/>
      <c r="BS10" s="95"/>
    </row>
    <row r="11" spans="1:71" s="5" customFormat="1" ht="19.5" customHeight="1" x14ac:dyDescent="0.3">
      <c r="A11" s="77" t="s">
        <v>59</v>
      </c>
      <c r="B11" s="113">
        <f>'FY 2016 by Agency'!B48</f>
        <v>204710</v>
      </c>
      <c r="C11" s="113">
        <f>'FY 2016 by Agency'!C48</f>
        <v>220083</v>
      </c>
      <c r="D11" s="113">
        <f>C11-B11</f>
        <v>15373</v>
      </c>
      <c r="E11" s="114">
        <f>D11/B11</f>
        <v>7.5096477944409171E-2</v>
      </c>
      <c r="F11" s="113">
        <f>'FY 2016 by Agency'!F48</f>
        <v>234498</v>
      </c>
      <c r="G11" s="113">
        <f>F11-C11</f>
        <v>14415</v>
      </c>
      <c r="H11" s="114">
        <f>G11/C11</f>
        <v>6.5498016657351998E-2</v>
      </c>
      <c r="I11" s="113">
        <f>'FY 2016 by Agency'!I48</f>
        <v>206864</v>
      </c>
      <c r="J11" s="113">
        <f>I11-F11</f>
        <v>-27634</v>
      </c>
      <c r="K11" s="114">
        <f>J11/F11</f>
        <v>-0.11784322254347585</v>
      </c>
      <c r="L11" s="113">
        <f>'FY 2016 by Agency'!L48</f>
        <v>231364</v>
      </c>
      <c r="M11" s="113">
        <f>'FY 2016 by Agency'!M48</f>
        <v>21501</v>
      </c>
      <c r="N11" s="114">
        <f>'FY 2016 by Agency'!N48</f>
        <v>0.10245255237940942</v>
      </c>
      <c r="O11" s="113">
        <f>'FY 2016 by Agency'!O48</f>
        <v>282412</v>
      </c>
      <c r="P11" s="113">
        <f>O11-L11</f>
        <v>51048</v>
      </c>
      <c r="Q11" s="114">
        <f>P11/L11</f>
        <v>0.220639338877267</v>
      </c>
      <c r="R11" s="113">
        <f>'FY 2016 by Agency'!R48</f>
        <v>333607</v>
      </c>
      <c r="S11" s="113">
        <f>R11-O11</f>
        <v>51195</v>
      </c>
      <c r="T11" s="114">
        <f>S11/O11</f>
        <v>0.18127770774612978</v>
      </c>
      <c r="U11" s="115">
        <f>'FY 2016 by Agency'!U48</f>
        <v>366258</v>
      </c>
      <c r="V11" s="115">
        <f>U11-R11</f>
        <v>32651</v>
      </c>
      <c r="W11" s="116">
        <f>V11/R11</f>
        <v>9.7872646557176562E-2</v>
      </c>
      <c r="X11" s="117">
        <f>'FY 2016 by Agency'!X48</f>
        <v>382069</v>
      </c>
      <c r="Y11" s="117">
        <f>X11-U11</f>
        <v>15811</v>
      </c>
      <c r="Z11" s="116">
        <f>Y11/U11</f>
        <v>4.3169022929191989E-2</v>
      </c>
      <c r="AA11" s="118">
        <f>'FY 2016 by Agency'!AA48</f>
        <v>405846</v>
      </c>
      <c r="AB11" s="117">
        <f t="shared" ref="AB11:AB18" si="0">AA11-X11</f>
        <v>23777</v>
      </c>
      <c r="AC11" s="114">
        <f t="shared" ref="AC11:AC18" si="1">AB11/X11</f>
        <v>6.2232214599980629E-2</v>
      </c>
      <c r="AD11" s="119">
        <f>'FY 2016 by Agency'!AF48</f>
        <v>349066</v>
      </c>
      <c r="AE11" s="117">
        <f t="shared" ref="AE11:AE18" si="2">AD11-AA11</f>
        <v>-56780</v>
      </c>
      <c r="AF11" s="114">
        <f t="shared" ref="AF11:AF18" si="3">AE11/AA11</f>
        <v>-0.13990528427038829</v>
      </c>
      <c r="AG11" s="119">
        <f>'FY 2016 by Agency'!AS48</f>
        <v>476840.01740999997</v>
      </c>
      <c r="AH11" s="117">
        <f>AG11-AD11</f>
        <v>127774.01740999997</v>
      </c>
      <c r="AI11" s="114">
        <f>AH11/AD11</f>
        <v>0.36604543957303193</v>
      </c>
      <c r="AJ11" s="119">
        <f>'FY 2016 by Agency'!BE48</f>
        <v>463087</v>
      </c>
      <c r="AK11" s="120">
        <f>AJ11-AG11</f>
        <v>-13753.017409999971</v>
      </c>
      <c r="AL11" s="114">
        <f>AK11/AG11</f>
        <v>-2.8841995025293263E-2</v>
      </c>
      <c r="AM11" s="689">
        <f>'FY 2016 by Agency'!BZ48</f>
        <v>517537</v>
      </c>
      <c r="AN11" s="121">
        <f t="shared" ref="AN11:AN18" si="4">AM11-AJ11</f>
        <v>54450</v>
      </c>
      <c r="AO11" s="138">
        <f t="shared" ref="AO11:AO18" si="5">AN11/AJ11</f>
        <v>0.11758049783302058</v>
      </c>
      <c r="AP11" s="686">
        <f>'FY 2016 by Agency'!CF48</f>
        <v>600529</v>
      </c>
      <c r="AQ11" s="117">
        <f>AP11-AM11</f>
        <v>82992</v>
      </c>
      <c r="AR11" s="114">
        <f>AQ11/AM11</f>
        <v>0.1603595491723297</v>
      </c>
      <c r="AS11" s="122">
        <f>'FY 2016 by Agency'!CK48</f>
        <v>677092</v>
      </c>
      <c r="AT11" s="122">
        <f>AS11-AP11</f>
        <v>76563</v>
      </c>
      <c r="AU11" s="114">
        <f>AT11/AP11</f>
        <v>0.12749259402959723</v>
      </c>
      <c r="AV11" s="758">
        <f>'FY 2016 by Agency'!CN48</f>
        <v>716366</v>
      </c>
      <c r="AW11" s="758">
        <f>AV11-AS11</f>
        <v>39274</v>
      </c>
      <c r="AX11" s="757">
        <f>AW11/AS11</f>
        <v>5.8003934472715672E-2</v>
      </c>
    </row>
    <row r="12" spans="1:71" s="35" customFormat="1" ht="19.5" customHeight="1" x14ac:dyDescent="0.3">
      <c r="A12" s="78" t="s">
        <v>60</v>
      </c>
      <c r="B12" s="123">
        <f>'FY 2016 by Agency'!B82</f>
        <v>90495</v>
      </c>
      <c r="C12" s="123">
        <f>'FY 2016 by Agency'!C82</f>
        <v>107152</v>
      </c>
      <c r="D12" s="123">
        <f t="shared" ref="D12:D18" si="6">C12-B12</f>
        <v>16657</v>
      </c>
      <c r="E12" s="124">
        <f t="shared" ref="E12:E18" si="7">D12/B12</f>
        <v>0.18406541797889386</v>
      </c>
      <c r="F12" s="123">
        <f>'FY 2016 by Agency'!F82</f>
        <v>114224</v>
      </c>
      <c r="G12" s="123">
        <f t="shared" ref="G12:G18" si="8">F12-C12</f>
        <v>7072</v>
      </c>
      <c r="H12" s="124">
        <f t="shared" ref="H12:H18" si="9">G12/C12</f>
        <v>6.5999701358817386E-2</v>
      </c>
      <c r="I12" s="123">
        <f>'FY 2016 by Agency'!I82</f>
        <v>134944</v>
      </c>
      <c r="J12" s="123">
        <f t="shared" ref="J12:J18" si="10">I12-F12</f>
        <v>20720</v>
      </c>
      <c r="K12" s="124">
        <f t="shared" ref="K12:K18" si="11">J12/F12</f>
        <v>0.18139795489564364</v>
      </c>
      <c r="L12" s="123">
        <f>'FY 2016 by Agency'!L82</f>
        <v>151305</v>
      </c>
      <c r="M12" s="123">
        <f>'FY 2016 by Agency'!M82</f>
        <v>5290</v>
      </c>
      <c r="N12" s="124">
        <f>'FY 2016 by Agency'!N82</f>
        <v>3.6575332047319768E-2</v>
      </c>
      <c r="O12" s="123">
        <f>'FY 2016 by Agency'!O82</f>
        <v>197591</v>
      </c>
      <c r="P12" s="123">
        <f t="shared" ref="P12:P18" si="12">O12-L12</f>
        <v>46286</v>
      </c>
      <c r="Q12" s="124">
        <f t="shared" ref="Q12:Q18" si="13">P12/L12</f>
        <v>0.30591189980502959</v>
      </c>
      <c r="R12" s="125">
        <f>'FY 2016 by Agency'!R82</f>
        <v>251763</v>
      </c>
      <c r="S12" s="123">
        <f t="shared" ref="S12:S18" si="14">R12-O12</f>
        <v>54172</v>
      </c>
      <c r="T12" s="124">
        <f t="shared" ref="T12:T18" si="15">S12/O12</f>
        <v>0.2741622847194457</v>
      </c>
      <c r="U12" s="126">
        <f>'FY 2016 by Agency'!U82</f>
        <v>373310</v>
      </c>
      <c r="V12" s="126">
        <f t="shared" ref="V12:V18" si="16">U12-R12</f>
        <v>121547</v>
      </c>
      <c r="W12" s="127">
        <f t="shared" ref="W12:W17" si="17">V12/R12</f>
        <v>0.48278341138292757</v>
      </c>
      <c r="X12" s="128">
        <f>'FY 2016 by Agency'!X82</f>
        <v>403260</v>
      </c>
      <c r="Y12" s="128">
        <f t="shared" ref="Y12:Y18" si="18">X12-U12</f>
        <v>29950</v>
      </c>
      <c r="Z12" s="127">
        <f t="shared" ref="Z12:Z18" si="19">Y12/U12</f>
        <v>8.0228228549998656E-2</v>
      </c>
      <c r="AA12" s="129">
        <f>'FY 2016 by Agency'!AA82</f>
        <v>391021</v>
      </c>
      <c r="AB12" s="128">
        <f t="shared" si="0"/>
        <v>-12239</v>
      </c>
      <c r="AC12" s="124">
        <f t="shared" si="1"/>
        <v>-3.0350146307593116E-2</v>
      </c>
      <c r="AD12" s="129">
        <f>'FY 2016 by Agency'!AF82</f>
        <v>265865</v>
      </c>
      <c r="AE12" s="128">
        <f t="shared" si="2"/>
        <v>-125156</v>
      </c>
      <c r="AF12" s="124">
        <f t="shared" si="3"/>
        <v>-0.32007488088875025</v>
      </c>
      <c r="AG12" s="129">
        <f>'FY 2016 by Agency'!AS82</f>
        <v>277041.65783000004</v>
      </c>
      <c r="AH12" s="128">
        <f t="shared" ref="AH12:AH18" si="20">AG12-AD12</f>
        <v>11176.65783000004</v>
      </c>
      <c r="AI12" s="124">
        <f t="shared" ref="AI12:AI18" si="21">AH12/AD12</f>
        <v>4.2038846143719708E-2</v>
      </c>
      <c r="AJ12" s="129">
        <f>'FY 2016 by Agency'!BE82</f>
        <v>239072</v>
      </c>
      <c r="AK12" s="130">
        <f t="shared" ref="AK12:AK18" si="22">AJ12-AG12</f>
        <v>-37969.65783000004</v>
      </c>
      <c r="AL12" s="124">
        <f t="shared" ref="AL12:AL18" si="23">AK12/AG12</f>
        <v>-0.13705396555668609</v>
      </c>
      <c r="AM12" s="690">
        <f>'FY 2016 by Agency'!BZ82</f>
        <v>353491</v>
      </c>
      <c r="AN12" s="131">
        <f t="shared" si="4"/>
        <v>114419</v>
      </c>
      <c r="AO12" s="139">
        <f t="shared" si="5"/>
        <v>0.4785964061036006</v>
      </c>
      <c r="AP12" s="687">
        <f>'FY 2016 by Agency'!CF82</f>
        <v>425528</v>
      </c>
      <c r="AQ12" s="128">
        <f t="shared" ref="AQ12:AQ18" si="24">AP12-AM12</f>
        <v>72037</v>
      </c>
      <c r="AR12" s="124">
        <f t="shared" ref="AR12:AR18" si="25">AQ12/AM12</f>
        <v>0.2037873665807616</v>
      </c>
      <c r="AS12" s="132">
        <f>'FY 2016 by Agency'!CK82</f>
        <v>373645</v>
      </c>
      <c r="AT12" s="132">
        <f t="shared" ref="AT12:AT18" si="26">AS12-AP12</f>
        <v>-51883</v>
      </c>
      <c r="AU12" s="759">
        <f t="shared" ref="AU12:AU18" si="27">AT12/AP12</f>
        <v>-0.12192617172077982</v>
      </c>
      <c r="AV12" s="760">
        <f>'FY 2016 by Agency'!CN82</f>
        <v>423346</v>
      </c>
      <c r="AW12" s="760">
        <f>AV12-AS12</f>
        <v>49701</v>
      </c>
      <c r="AX12" s="761">
        <f t="shared" ref="AX12:AX18" si="28">AW12/AS12</f>
        <v>0.1330166334354802</v>
      </c>
      <c r="AY12" s="5"/>
      <c r="AZ12" s="5"/>
      <c r="BA12" s="5"/>
      <c r="BB12" s="5"/>
      <c r="BC12" s="5"/>
      <c r="BD12" s="5"/>
      <c r="BE12" s="5"/>
      <c r="BF12" s="5"/>
      <c r="BG12" s="5"/>
      <c r="BH12" s="5"/>
      <c r="BI12" s="5"/>
      <c r="BJ12" s="5"/>
      <c r="BK12" s="5"/>
      <c r="BL12" s="5"/>
      <c r="BM12" s="5"/>
      <c r="BN12" s="5"/>
      <c r="BO12" s="5"/>
      <c r="BP12" s="5"/>
      <c r="BQ12" s="5"/>
      <c r="BR12" s="5"/>
      <c r="BS12" s="5"/>
    </row>
    <row r="13" spans="1:71" s="5" customFormat="1" ht="19.5" customHeight="1" x14ac:dyDescent="0.3">
      <c r="A13" s="77" t="s">
        <v>61</v>
      </c>
      <c r="B13" s="113">
        <f>'FY 2016 by Agency'!B117</f>
        <v>706747</v>
      </c>
      <c r="C13" s="113">
        <f>'FY 2016 by Agency'!C117</f>
        <v>717389</v>
      </c>
      <c r="D13" s="113">
        <f t="shared" si="6"/>
        <v>10642</v>
      </c>
      <c r="E13" s="114">
        <f t="shared" si="7"/>
        <v>1.5057722211767436E-2</v>
      </c>
      <c r="F13" s="113">
        <f>'FY 2016 by Agency'!F117</f>
        <v>636160</v>
      </c>
      <c r="G13" s="113">
        <f t="shared" si="8"/>
        <v>-81229</v>
      </c>
      <c r="H13" s="114">
        <f t="shared" si="9"/>
        <v>-0.11322866673450527</v>
      </c>
      <c r="I13" s="113">
        <f>'FY 2016 by Agency'!I117</f>
        <v>659479</v>
      </c>
      <c r="J13" s="113">
        <f t="shared" si="10"/>
        <v>23319</v>
      </c>
      <c r="K13" s="114">
        <f t="shared" si="11"/>
        <v>3.6655872736418509E-2</v>
      </c>
      <c r="L13" s="113">
        <f>'FY 2016 by Agency'!L117</f>
        <v>746064</v>
      </c>
      <c r="M13" s="113">
        <f>'FY 2016 by Agency'!M117</f>
        <v>86583</v>
      </c>
      <c r="N13" s="114">
        <f>'FY 2016 by Agency'!N117</f>
        <v>0.13128960500757414</v>
      </c>
      <c r="O13" s="113">
        <f>'FY 2016 by Agency'!O117</f>
        <v>805467</v>
      </c>
      <c r="P13" s="113">
        <f t="shared" si="12"/>
        <v>59403</v>
      </c>
      <c r="Q13" s="114">
        <f t="shared" si="13"/>
        <v>7.9621855497651675E-2</v>
      </c>
      <c r="R13" s="133">
        <f>'FY 2016 by Agency'!R117</f>
        <v>894748</v>
      </c>
      <c r="S13" s="113">
        <f t="shared" si="14"/>
        <v>89281</v>
      </c>
      <c r="T13" s="114">
        <f t="shared" si="15"/>
        <v>0.11084377137735003</v>
      </c>
      <c r="U13" s="115">
        <f>'FY 2016 by Agency'!U117</f>
        <v>961430</v>
      </c>
      <c r="V13" s="115">
        <f t="shared" si="16"/>
        <v>66682</v>
      </c>
      <c r="W13" s="116">
        <f t="shared" si="17"/>
        <v>7.4526011793264693E-2</v>
      </c>
      <c r="X13" s="117">
        <f>'FY 2016 by Agency'!X117</f>
        <v>1044461</v>
      </c>
      <c r="Y13" s="117">
        <f t="shared" si="18"/>
        <v>83031</v>
      </c>
      <c r="Z13" s="116">
        <f t="shared" si="19"/>
        <v>8.6361981631528043E-2</v>
      </c>
      <c r="AA13" s="119">
        <f>'FY 2016 by Agency'!AA117</f>
        <v>1013227</v>
      </c>
      <c r="AB13" s="117">
        <f t="shared" si="0"/>
        <v>-31234</v>
      </c>
      <c r="AC13" s="114">
        <f t="shared" si="1"/>
        <v>-2.9904419600157401E-2</v>
      </c>
      <c r="AD13" s="119">
        <f>'FY 2016 by Agency'!AF117</f>
        <v>1006117</v>
      </c>
      <c r="AE13" s="117">
        <f t="shared" si="2"/>
        <v>-7110</v>
      </c>
      <c r="AF13" s="114">
        <f t="shared" si="3"/>
        <v>-7.01718371105389E-3</v>
      </c>
      <c r="AG13" s="119">
        <f>'FY 2016 by Agency'!AS117</f>
        <v>1031119.9855300003</v>
      </c>
      <c r="AH13" s="117">
        <f t="shared" si="20"/>
        <v>25002.985530000296</v>
      </c>
      <c r="AI13" s="114">
        <f t="shared" si="21"/>
        <v>2.4850972133459923E-2</v>
      </c>
      <c r="AJ13" s="119">
        <f>'FY 2016 by Agency'!BE117</f>
        <v>948966</v>
      </c>
      <c r="AK13" s="120">
        <f t="shared" si="22"/>
        <v>-82153.985530000296</v>
      </c>
      <c r="AL13" s="114">
        <f t="shared" si="23"/>
        <v>-7.9674515752667499E-2</v>
      </c>
      <c r="AM13" s="691">
        <f>'FY 2016 by Agency'!BZ117</f>
        <v>971544</v>
      </c>
      <c r="AN13" s="121">
        <f t="shared" si="4"/>
        <v>22578</v>
      </c>
      <c r="AO13" s="138">
        <f t="shared" si="5"/>
        <v>2.3792211733613216E-2</v>
      </c>
      <c r="AP13" s="686">
        <f>'FY 2016 by Agency'!CF117</f>
        <v>1036294</v>
      </c>
      <c r="AQ13" s="117">
        <f t="shared" si="24"/>
        <v>64750</v>
      </c>
      <c r="AR13" s="114">
        <f t="shared" si="25"/>
        <v>6.6646492593233034E-2</v>
      </c>
      <c r="AS13" s="122">
        <f>'FY 2016 by Agency'!CK117</f>
        <v>1060065</v>
      </c>
      <c r="AT13" s="122">
        <f t="shared" si="26"/>
        <v>23771</v>
      </c>
      <c r="AU13" s="114">
        <f t="shared" si="27"/>
        <v>2.2938471128849534E-2</v>
      </c>
      <c r="AV13" s="758">
        <f>'FY 2016 by Agency'!CN117</f>
        <v>1145178</v>
      </c>
      <c r="AW13" s="758">
        <f t="shared" ref="AW13:AW18" si="29">AV13-AS13</f>
        <v>85113</v>
      </c>
      <c r="AX13" s="757">
        <f t="shared" si="28"/>
        <v>8.0290359553423604E-2</v>
      </c>
    </row>
    <row r="14" spans="1:71" s="35" customFormat="1" ht="19.5" customHeight="1" x14ac:dyDescent="0.3">
      <c r="A14" s="78" t="s">
        <v>62</v>
      </c>
      <c r="B14" s="123">
        <f>'FY 2016 by Agency'!B142</f>
        <v>759641</v>
      </c>
      <c r="C14" s="123">
        <f>'FY 2016 by Agency'!C142</f>
        <v>980005</v>
      </c>
      <c r="D14" s="123">
        <f t="shared" si="6"/>
        <v>220364</v>
      </c>
      <c r="E14" s="124">
        <f t="shared" si="7"/>
        <v>0.29008966077397086</v>
      </c>
      <c r="F14" s="123">
        <f>'FY 2016 by Agency'!F142</f>
        <v>955185</v>
      </c>
      <c r="G14" s="123">
        <f t="shared" si="8"/>
        <v>-24820</v>
      </c>
      <c r="H14" s="124">
        <f t="shared" si="9"/>
        <v>-2.5326401395911247E-2</v>
      </c>
      <c r="I14" s="123">
        <f>'FY 2016 by Agency'!I142</f>
        <v>938612</v>
      </c>
      <c r="J14" s="123">
        <f t="shared" si="10"/>
        <v>-16573</v>
      </c>
      <c r="K14" s="124">
        <f t="shared" si="11"/>
        <v>-1.7350565597240325E-2</v>
      </c>
      <c r="L14" s="123">
        <f>'FY 2016 by Agency'!L142</f>
        <v>1050028</v>
      </c>
      <c r="M14" s="123">
        <f>'FY 2016 by Agency'!M142</f>
        <v>126895</v>
      </c>
      <c r="N14" s="124">
        <f>'FY 2016 by Agency'!N142</f>
        <v>0.13872733156373401</v>
      </c>
      <c r="O14" s="123">
        <f>'FY 2016 by Agency'!O142</f>
        <v>1145955</v>
      </c>
      <c r="P14" s="123">
        <f t="shared" si="12"/>
        <v>95927</v>
      </c>
      <c r="Q14" s="124">
        <f t="shared" si="13"/>
        <v>9.1356611442742486E-2</v>
      </c>
      <c r="R14" s="125">
        <f>'FY 2016 by Agency'!R142</f>
        <v>1225569</v>
      </c>
      <c r="S14" s="123">
        <f t="shared" si="14"/>
        <v>79614</v>
      </c>
      <c r="T14" s="124">
        <f t="shared" si="15"/>
        <v>6.9473932222469476E-2</v>
      </c>
      <c r="U14" s="126">
        <f>'FY 2016 by Agency'!U142</f>
        <v>1285587</v>
      </c>
      <c r="V14" s="126">
        <f t="shared" si="16"/>
        <v>60018</v>
      </c>
      <c r="W14" s="127">
        <f t="shared" si="17"/>
        <v>4.8971538934160376E-2</v>
      </c>
      <c r="X14" s="128">
        <f>'FY 2016 by Agency'!X142</f>
        <v>1447463</v>
      </c>
      <c r="Y14" s="128">
        <f t="shared" si="18"/>
        <v>161876</v>
      </c>
      <c r="Z14" s="127">
        <f t="shared" si="19"/>
        <v>0.12591602124165849</v>
      </c>
      <c r="AA14" s="129">
        <f>'FY 2016 by Agency'!AA142</f>
        <v>1431098</v>
      </c>
      <c r="AB14" s="128">
        <f t="shared" si="0"/>
        <v>-16365</v>
      </c>
      <c r="AC14" s="124">
        <f t="shared" si="1"/>
        <v>-1.1305988477771107E-2</v>
      </c>
      <c r="AD14" s="129">
        <f>'FY 2016 by Agency'!AF142</f>
        <v>1406984</v>
      </c>
      <c r="AE14" s="128">
        <f t="shared" si="2"/>
        <v>-24114</v>
      </c>
      <c r="AF14" s="124">
        <f t="shared" si="3"/>
        <v>-1.6849999091606584E-2</v>
      </c>
      <c r="AG14" s="129">
        <f>'FY 2016 by Agency'!AS142</f>
        <v>1502121.1986100003</v>
      </c>
      <c r="AH14" s="128">
        <f t="shared" si="20"/>
        <v>95137.198610000312</v>
      </c>
      <c r="AI14" s="124">
        <f t="shared" si="21"/>
        <v>6.7617825511875271E-2</v>
      </c>
      <c r="AJ14" s="129">
        <f>'FY 2016 by Agency'!BE142</f>
        <v>1610450</v>
      </c>
      <c r="AK14" s="130">
        <f t="shared" si="22"/>
        <v>108328.80138999969</v>
      </c>
      <c r="AL14" s="124">
        <f t="shared" si="23"/>
        <v>7.2117217632134203E-2</v>
      </c>
      <c r="AM14" s="690">
        <f>'FY 2016 by Agency'!BZ142</f>
        <v>1707306</v>
      </c>
      <c r="AN14" s="131">
        <f t="shared" si="4"/>
        <v>96856</v>
      </c>
      <c r="AO14" s="139">
        <f t="shared" si="5"/>
        <v>6.0142196280542702E-2</v>
      </c>
      <c r="AP14" s="687">
        <f>'FY 2016 by Agency'!CF142</f>
        <v>1766224</v>
      </c>
      <c r="AQ14" s="128">
        <f t="shared" si="24"/>
        <v>58918</v>
      </c>
      <c r="AR14" s="124">
        <f t="shared" si="25"/>
        <v>3.4509338103421411E-2</v>
      </c>
      <c r="AS14" s="132">
        <f>'FY 2016 by Agency'!CK142</f>
        <v>1910568</v>
      </c>
      <c r="AT14" s="132">
        <f t="shared" si="26"/>
        <v>144344</v>
      </c>
      <c r="AU14" s="759">
        <f t="shared" si="27"/>
        <v>8.1724628359709756E-2</v>
      </c>
      <c r="AV14" s="760">
        <f>'FY 2016 by Agency'!CN142</f>
        <v>1947076</v>
      </c>
      <c r="AW14" s="760">
        <f t="shared" si="29"/>
        <v>36508</v>
      </c>
      <c r="AX14" s="761">
        <f t="shared" si="28"/>
        <v>1.9108453611700812E-2</v>
      </c>
      <c r="AY14" s="5"/>
      <c r="AZ14" s="5"/>
      <c r="BA14" s="5"/>
      <c r="BB14" s="5"/>
      <c r="BC14" s="5"/>
      <c r="BD14" s="5"/>
      <c r="BE14" s="5"/>
      <c r="BF14" s="5"/>
      <c r="BG14" s="5"/>
      <c r="BH14" s="5"/>
      <c r="BI14" s="5"/>
      <c r="BJ14" s="5"/>
      <c r="BK14" s="5"/>
      <c r="BL14" s="5"/>
      <c r="BM14" s="5"/>
      <c r="BN14" s="5"/>
      <c r="BO14" s="5"/>
      <c r="BP14" s="5"/>
      <c r="BQ14" s="5"/>
      <c r="BR14" s="5"/>
      <c r="BS14" s="5"/>
    </row>
    <row r="15" spans="1:71" s="5" customFormat="1" ht="19.5" customHeight="1" x14ac:dyDescent="0.3">
      <c r="A15" s="77" t="s">
        <v>63</v>
      </c>
      <c r="B15" s="113">
        <f>'FY 2016 by Agency'!B176</f>
        <v>790990</v>
      </c>
      <c r="C15" s="113">
        <f>'FY 2016 by Agency'!C176</f>
        <v>933649</v>
      </c>
      <c r="D15" s="113">
        <f t="shared" si="6"/>
        <v>142659</v>
      </c>
      <c r="E15" s="114">
        <f t="shared" si="7"/>
        <v>0.18035499816685419</v>
      </c>
      <c r="F15" s="113">
        <f>'FY 2016 by Agency'!F176</f>
        <v>1043924</v>
      </c>
      <c r="G15" s="113">
        <f t="shared" si="8"/>
        <v>110275</v>
      </c>
      <c r="H15" s="114">
        <f t="shared" si="9"/>
        <v>0.11811183860315815</v>
      </c>
      <c r="I15" s="113">
        <f>'FY 2016 by Agency'!I176</f>
        <v>1064742</v>
      </c>
      <c r="J15" s="113">
        <f t="shared" si="10"/>
        <v>20818</v>
      </c>
      <c r="K15" s="114">
        <f t="shared" si="11"/>
        <v>1.9942064748008477E-2</v>
      </c>
      <c r="L15" s="113">
        <f>'FY 2016 by Agency'!L176</f>
        <v>1091868</v>
      </c>
      <c r="M15" s="113">
        <f>'FY 2016 by Agency'!M176</f>
        <v>-244746</v>
      </c>
      <c r="N15" s="114">
        <f>'FY 2016 by Agency'!N176</f>
        <v>-0.17972453781216405</v>
      </c>
      <c r="O15" s="113">
        <f>'FY 2016 by Agency'!O176</f>
        <v>1183582</v>
      </c>
      <c r="P15" s="113">
        <f t="shared" si="12"/>
        <v>91714</v>
      </c>
      <c r="Q15" s="114">
        <f t="shared" si="13"/>
        <v>8.399733301095004E-2</v>
      </c>
      <c r="R15" s="133">
        <f>'FY 2016 by Agency'!R176</f>
        <v>1263548</v>
      </c>
      <c r="S15" s="113">
        <f t="shared" si="14"/>
        <v>79966</v>
      </c>
      <c r="T15" s="114">
        <f t="shared" si="15"/>
        <v>6.756270372479474E-2</v>
      </c>
      <c r="U15" s="115">
        <f>'FY 2016 by Agency'!U176</f>
        <v>1467789</v>
      </c>
      <c r="V15" s="115">
        <f t="shared" si="16"/>
        <v>204241</v>
      </c>
      <c r="W15" s="116">
        <f t="shared" si="17"/>
        <v>0.16164087157749449</v>
      </c>
      <c r="X15" s="117">
        <f>'FY 2016 by Agency'!X176</f>
        <v>1606978</v>
      </c>
      <c r="Y15" s="117">
        <f t="shared" si="18"/>
        <v>139189</v>
      </c>
      <c r="Z15" s="116">
        <f t="shared" si="19"/>
        <v>9.4829025152797841E-2</v>
      </c>
      <c r="AA15" s="119">
        <f>'FY 2016 by Agency'!AA176</f>
        <v>1445377</v>
      </c>
      <c r="AB15" s="117">
        <f t="shared" si="0"/>
        <v>-161601</v>
      </c>
      <c r="AC15" s="114">
        <f t="shared" si="1"/>
        <v>-0.10056204876482441</v>
      </c>
      <c r="AD15" s="119">
        <f>'FY 2016 by Agency'!AF176</f>
        <v>1471128</v>
      </c>
      <c r="AE15" s="117">
        <f t="shared" si="2"/>
        <v>25751</v>
      </c>
      <c r="AF15" s="114">
        <f t="shared" si="3"/>
        <v>1.7816113027950494E-2</v>
      </c>
      <c r="AG15" s="119">
        <f>'FY 2016 by Agency'!AS176</f>
        <v>1477284.8808900001</v>
      </c>
      <c r="AH15" s="117">
        <f t="shared" si="20"/>
        <v>6156.8808900001459</v>
      </c>
      <c r="AI15" s="114">
        <f t="shared" si="21"/>
        <v>4.1851428903536235E-3</v>
      </c>
      <c r="AJ15" s="119">
        <f>'FY 2016 by Agency'!BE176</f>
        <v>1611116</v>
      </c>
      <c r="AK15" s="120">
        <f t="shared" si="22"/>
        <v>133831.11910999985</v>
      </c>
      <c r="AL15" s="114">
        <f t="shared" si="23"/>
        <v>9.059262762465449E-2</v>
      </c>
      <c r="AM15" s="691">
        <f>'FY 2016 by Agency'!BZ176</f>
        <v>1664503</v>
      </c>
      <c r="AN15" s="121">
        <f t="shared" si="4"/>
        <v>53387</v>
      </c>
      <c r="AO15" s="138">
        <f t="shared" si="5"/>
        <v>3.3136658068072068E-2</v>
      </c>
      <c r="AP15" s="686">
        <f>'FY 2016 by Agency'!CF176</f>
        <v>1762479</v>
      </c>
      <c r="AQ15" s="117">
        <f t="shared" si="24"/>
        <v>97976</v>
      </c>
      <c r="AR15" s="114">
        <f t="shared" si="25"/>
        <v>5.8862014667441273E-2</v>
      </c>
      <c r="AS15" s="122">
        <f>'FY 2016 by Agency'!CK176</f>
        <v>1886830.1</v>
      </c>
      <c r="AT15" s="122">
        <f t="shared" si="26"/>
        <v>124351.10000000009</v>
      </c>
      <c r="AU15" s="114">
        <f t="shared" si="27"/>
        <v>7.0554656254060391E-2</v>
      </c>
      <c r="AV15" s="758">
        <f>'FY 2016 by Agency'!CN176</f>
        <v>1904219</v>
      </c>
      <c r="AW15" s="758">
        <f t="shared" si="29"/>
        <v>17388.899999999907</v>
      </c>
      <c r="AX15" s="757">
        <f t="shared" si="28"/>
        <v>9.2159331144865166E-3</v>
      </c>
    </row>
    <row r="16" spans="1:71" s="35" customFormat="1" ht="19.5" customHeight="1" x14ac:dyDescent="0.3">
      <c r="A16" s="78" t="s">
        <v>64</v>
      </c>
      <c r="B16" s="123">
        <f>'FY 2016 by Agency'!B200</f>
        <v>268876</v>
      </c>
      <c r="C16" s="123">
        <f>'FY 2016 by Agency'!C200</f>
        <v>295866</v>
      </c>
      <c r="D16" s="123">
        <f t="shared" si="6"/>
        <v>26990</v>
      </c>
      <c r="E16" s="124">
        <f t="shared" si="7"/>
        <v>0.10038084470164686</v>
      </c>
      <c r="F16" s="123">
        <f>'FY 2016 by Agency'!F200</f>
        <v>308069</v>
      </c>
      <c r="G16" s="123">
        <f t="shared" si="8"/>
        <v>12203</v>
      </c>
      <c r="H16" s="124">
        <f t="shared" si="9"/>
        <v>4.1245023084774866E-2</v>
      </c>
      <c r="I16" s="123">
        <f>'FY 2016 by Agency'!I200</f>
        <v>309536</v>
      </c>
      <c r="J16" s="123">
        <f t="shared" si="10"/>
        <v>1467</v>
      </c>
      <c r="K16" s="124">
        <f t="shared" si="11"/>
        <v>4.7619202191716793E-3</v>
      </c>
      <c r="L16" s="123">
        <f>'FY 2016 by Agency'!L200</f>
        <v>316597</v>
      </c>
      <c r="M16" s="123">
        <f>'FY 2016 by Agency'!M200</f>
        <v>7952</v>
      </c>
      <c r="N16" s="124">
        <f>'FY 2016 by Agency'!N200</f>
        <v>2.5930322042078079E-2</v>
      </c>
      <c r="O16" s="123">
        <f>'FY 2016 by Agency'!O200</f>
        <v>405603</v>
      </c>
      <c r="P16" s="123">
        <f t="shared" si="12"/>
        <v>89006</v>
      </c>
      <c r="Q16" s="124">
        <f t="shared" si="13"/>
        <v>0.28113342830159477</v>
      </c>
      <c r="R16" s="125">
        <f>'FY 2016 by Agency'!R200</f>
        <v>366801</v>
      </c>
      <c r="S16" s="123">
        <f t="shared" si="14"/>
        <v>-38802</v>
      </c>
      <c r="T16" s="124">
        <f t="shared" si="15"/>
        <v>-9.5664972892212333E-2</v>
      </c>
      <c r="U16" s="126">
        <f>'FY 2016 by Agency'!U200</f>
        <v>429972</v>
      </c>
      <c r="V16" s="126">
        <f t="shared" si="16"/>
        <v>63171</v>
      </c>
      <c r="W16" s="127">
        <f t="shared" si="17"/>
        <v>0.17222144977794498</v>
      </c>
      <c r="X16" s="128">
        <f>'FY 2016 by Agency'!X200</f>
        <v>563777</v>
      </c>
      <c r="Y16" s="128">
        <f t="shared" si="18"/>
        <v>133805</v>
      </c>
      <c r="Z16" s="127">
        <f t="shared" si="19"/>
        <v>0.31119468244443826</v>
      </c>
      <c r="AA16" s="129">
        <f>'FY 2016 by Agency'!AA200</f>
        <v>602284</v>
      </c>
      <c r="AB16" s="128">
        <f t="shared" si="0"/>
        <v>38507</v>
      </c>
      <c r="AC16" s="124">
        <f t="shared" si="1"/>
        <v>6.8301828559873851E-2</v>
      </c>
      <c r="AD16" s="129">
        <f>'FY 2016 by Agency'!AF200</f>
        <v>560203</v>
      </c>
      <c r="AE16" s="128">
        <f t="shared" si="2"/>
        <v>-42081</v>
      </c>
      <c r="AF16" s="124">
        <f t="shared" si="3"/>
        <v>-6.9869031885289992E-2</v>
      </c>
      <c r="AG16" s="129">
        <f>'FY 2016 by Agency'!AS200</f>
        <v>538838.46692999988</v>
      </c>
      <c r="AH16" s="128">
        <f t="shared" si="20"/>
        <v>-21364.533070000121</v>
      </c>
      <c r="AI16" s="124">
        <f t="shared" si="21"/>
        <v>-3.8137127202103743E-2</v>
      </c>
      <c r="AJ16" s="129">
        <f>'FY 2016 by Agency'!BE200</f>
        <v>535086</v>
      </c>
      <c r="AK16" s="130">
        <f t="shared" si="22"/>
        <v>-3752.4669299998786</v>
      </c>
      <c r="AL16" s="124">
        <f t="shared" si="23"/>
        <v>-6.9639922913806353E-3</v>
      </c>
      <c r="AM16" s="690">
        <f>'FY 2016 by Agency'!BZ200</f>
        <v>550523</v>
      </c>
      <c r="AN16" s="131">
        <f t="shared" si="4"/>
        <v>15437</v>
      </c>
      <c r="AO16" s="139">
        <f t="shared" si="5"/>
        <v>2.8849568106808998E-2</v>
      </c>
      <c r="AP16" s="687">
        <f>'FY 2016 by Agency'!CF200</f>
        <v>649358</v>
      </c>
      <c r="AQ16" s="128">
        <f t="shared" si="24"/>
        <v>98835</v>
      </c>
      <c r="AR16" s="124">
        <f t="shared" si="25"/>
        <v>0.17952928397178683</v>
      </c>
      <c r="AS16" s="132">
        <f>'FY 2016 by Agency'!CK200</f>
        <v>688344</v>
      </c>
      <c r="AT16" s="132">
        <f t="shared" si="26"/>
        <v>38986</v>
      </c>
      <c r="AU16" s="759">
        <f t="shared" si="27"/>
        <v>6.0037760372552582E-2</v>
      </c>
      <c r="AV16" s="760">
        <f>'FY 2016 by Agency'!CN200</f>
        <v>734314</v>
      </c>
      <c r="AW16" s="760">
        <f t="shared" si="29"/>
        <v>45970</v>
      </c>
      <c r="AX16" s="761">
        <f t="shared" si="28"/>
        <v>6.6783468730750903E-2</v>
      </c>
      <c r="AY16" s="5"/>
      <c r="AZ16" s="5"/>
      <c r="BA16" s="5"/>
      <c r="BB16" s="5"/>
      <c r="BC16" s="5"/>
      <c r="BD16" s="5"/>
      <c r="BE16" s="5"/>
      <c r="BF16" s="5"/>
      <c r="BG16" s="5"/>
      <c r="BH16" s="5"/>
      <c r="BI16" s="5"/>
      <c r="BJ16" s="5"/>
      <c r="BK16" s="5"/>
      <c r="BL16" s="5"/>
      <c r="BM16" s="5"/>
      <c r="BN16" s="5"/>
      <c r="BO16" s="5"/>
      <c r="BP16" s="5"/>
      <c r="BQ16" s="5"/>
      <c r="BR16" s="5"/>
      <c r="BS16" s="5"/>
    </row>
    <row r="17" spans="1:71" s="5" customFormat="1" ht="19.5" customHeight="1" x14ac:dyDescent="0.3">
      <c r="A17" s="79" t="s">
        <v>65</v>
      </c>
      <c r="B17" s="113">
        <f>'FY 2016 by Agency'!B235</f>
        <v>394753</v>
      </c>
      <c r="C17" s="113">
        <f>'FY 2016 by Agency'!C235</f>
        <v>272071</v>
      </c>
      <c r="D17" s="113">
        <f t="shared" si="6"/>
        <v>-122682</v>
      </c>
      <c r="E17" s="114">
        <f t="shared" si="7"/>
        <v>-0.3107816786699531</v>
      </c>
      <c r="F17" s="113">
        <f>'FY 2016 by Agency'!F235</f>
        <v>278480</v>
      </c>
      <c r="G17" s="113">
        <f t="shared" si="8"/>
        <v>6409</v>
      </c>
      <c r="H17" s="114">
        <f t="shared" si="9"/>
        <v>2.3556351099529166E-2</v>
      </c>
      <c r="I17" s="113">
        <f>'FY 2016 by Agency'!I235</f>
        <v>294072</v>
      </c>
      <c r="J17" s="113">
        <f t="shared" si="10"/>
        <v>15592</v>
      </c>
      <c r="K17" s="114">
        <f t="shared" si="11"/>
        <v>5.5989658144211432E-2</v>
      </c>
      <c r="L17" s="133">
        <f>'FY 2016 by Agency'!L235</f>
        <v>399023</v>
      </c>
      <c r="M17" s="133">
        <f>'FY 2016 by Agency'!M235</f>
        <v>115575</v>
      </c>
      <c r="N17" s="136" t="str">
        <f>'FY 2016 by Agency'!N235</f>
        <v>—</v>
      </c>
      <c r="O17" s="133">
        <f>'FY 2016 by Agency'!O235</f>
        <v>428753</v>
      </c>
      <c r="P17" s="113">
        <f t="shared" si="12"/>
        <v>29730</v>
      </c>
      <c r="Q17" s="114">
        <f t="shared" si="13"/>
        <v>7.4506983306726685E-2</v>
      </c>
      <c r="R17" s="133">
        <f>'FY 2016 by Agency'!R235</f>
        <v>858298</v>
      </c>
      <c r="S17" s="113">
        <f t="shared" si="14"/>
        <v>429545</v>
      </c>
      <c r="T17" s="114">
        <f t="shared" si="15"/>
        <v>1.0018472173955635</v>
      </c>
      <c r="U17" s="133">
        <f>'FY 2016 by Agency'!U235</f>
        <v>605800</v>
      </c>
      <c r="V17" s="115">
        <f t="shared" si="16"/>
        <v>-252498</v>
      </c>
      <c r="W17" s="116">
        <f t="shared" si="17"/>
        <v>-0.29418453730522498</v>
      </c>
      <c r="X17" s="133">
        <f>'FY 2016 by Agency'!X235</f>
        <v>835883</v>
      </c>
      <c r="Y17" s="117">
        <f t="shared" si="18"/>
        <v>230083</v>
      </c>
      <c r="Z17" s="116">
        <f t="shared" si="19"/>
        <v>0.37980026411356882</v>
      </c>
      <c r="AA17" s="134">
        <f>'FY 2016 by Agency'!AA235</f>
        <v>967827</v>
      </c>
      <c r="AB17" s="117">
        <f t="shared" si="0"/>
        <v>131944</v>
      </c>
      <c r="AC17" s="114">
        <f t="shared" si="1"/>
        <v>0.15784984262151522</v>
      </c>
      <c r="AD17" s="119">
        <f>'FY 2016 by Agency'!AF235</f>
        <v>764487</v>
      </c>
      <c r="AE17" s="117">
        <f t="shared" si="2"/>
        <v>-203340</v>
      </c>
      <c r="AF17" s="114">
        <f t="shared" si="3"/>
        <v>-0.21009953225111513</v>
      </c>
      <c r="AG17" s="119">
        <f>'FY 2016 by Agency'!AS235</f>
        <v>861536.56293000001</v>
      </c>
      <c r="AH17" s="117">
        <f t="shared" si="20"/>
        <v>97049.562930000015</v>
      </c>
      <c r="AI17" s="114">
        <f t="shared" si="21"/>
        <v>0.12694730313268901</v>
      </c>
      <c r="AJ17" s="119">
        <f>'FY 2016 by Agency'!BE235</f>
        <v>986089</v>
      </c>
      <c r="AK17" s="120">
        <f t="shared" si="22"/>
        <v>124552.43706999999</v>
      </c>
      <c r="AL17" s="114">
        <f t="shared" si="23"/>
        <v>0.14457011162290032</v>
      </c>
      <c r="AM17" s="691">
        <f>'FY 2016 by Agency'!BZ235</f>
        <v>929030</v>
      </c>
      <c r="AN17" s="121">
        <f t="shared" si="4"/>
        <v>-57059</v>
      </c>
      <c r="AO17" s="138">
        <f t="shared" si="5"/>
        <v>-5.7863945343675872E-2</v>
      </c>
      <c r="AP17" s="686">
        <f>'FY 2016 by Agency'!CF235</f>
        <v>926186</v>
      </c>
      <c r="AQ17" s="117">
        <f t="shared" si="24"/>
        <v>-2844</v>
      </c>
      <c r="AR17" s="114">
        <f t="shared" si="25"/>
        <v>-3.0612574405562793E-3</v>
      </c>
      <c r="AS17" s="122">
        <f>'FY 2016 by Agency'!CK235</f>
        <v>1026932</v>
      </c>
      <c r="AT17" s="122">
        <f t="shared" si="26"/>
        <v>100746</v>
      </c>
      <c r="AU17" s="114">
        <f t="shared" si="27"/>
        <v>0.1087751272422602</v>
      </c>
      <c r="AV17" s="758">
        <f>'FY 2016 by Agency'!CN235</f>
        <v>1055115</v>
      </c>
      <c r="AW17" s="758">
        <f t="shared" si="29"/>
        <v>28183</v>
      </c>
      <c r="AX17" s="757">
        <f t="shared" si="28"/>
        <v>2.7443881386498815E-2</v>
      </c>
    </row>
    <row r="18" spans="1:71" s="60" customFormat="1" ht="19.5" customHeight="1" x14ac:dyDescent="0.3">
      <c r="A18" s="80" t="s">
        <v>66</v>
      </c>
      <c r="B18" s="123">
        <f>'FY 2016 by Agency'!B255</f>
        <v>3216212</v>
      </c>
      <c r="C18" s="123">
        <f>'FY 2016 by Agency'!C255</f>
        <v>3526215</v>
      </c>
      <c r="D18" s="123">
        <f t="shared" si="6"/>
        <v>310003</v>
      </c>
      <c r="E18" s="124">
        <f t="shared" si="7"/>
        <v>9.638761375182979E-2</v>
      </c>
      <c r="F18" s="123">
        <f>'FY 2016 by Agency'!F255</f>
        <v>3570540</v>
      </c>
      <c r="G18" s="123">
        <f t="shared" si="8"/>
        <v>44325</v>
      </c>
      <c r="H18" s="124">
        <f t="shared" si="9"/>
        <v>1.2570135400138675E-2</v>
      </c>
      <c r="I18" s="123">
        <f>'FY 2016 by Agency'!I255</f>
        <v>3608249</v>
      </c>
      <c r="J18" s="123">
        <f t="shared" si="10"/>
        <v>37709</v>
      </c>
      <c r="K18" s="124">
        <f t="shared" si="11"/>
        <v>1.0561147613526245E-2</v>
      </c>
      <c r="L18" s="125">
        <f>'FY 2016 by Agency'!L255</f>
        <v>3986249</v>
      </c>
      <c r="M18" s="125">
        <f>'FY 2016 by Agency'!M255</f>
        <v>119050</v>
      </c>
      <c r="N18" s="137" t="str">
        <f>'FY 2016 by Agency'!N255</f>
        <v>—</v>
      </c>
      <c r="O18" s="125">
        <f>'FY 2016 by Agency'!O255</f>
        <v>4449363</v>
      </c>
      <c r="P18" s="123">
        <f t="shared" si="12"/>
        <v>463114</v>
      </c>
      <c r="Q18" s="124">
        <f t="shared" si="13"/>
        <v>0.11617789054321494</v>
      </c>
      <c r="R18" s="125">
        <f>'FY 2016 by Agency'!R255</f>
        <v>5194334</v>
      </c>
      <c r="S18" s="123">
        <f t="shared" si="14"/>
        <v>744971</v>
      </c>
      <c r="T18" s="124">
        <f t="shared" si="15"/>
        <v>0.16743318088454459</v>
      </c>
      <c r="U18" s="125">
        <f>'FY 2016 by Agency'!U255</f>
        <v>5490146</v>
      </c>
      <c r="V18" s="126">
        <f t="shared" si="16"/>
        <v>295812</v>
      </c>
      <c r="W18" s="127">
        <f>V18/R18</f>
        <v>5.6948975556827881E-2</v>
      </c>
      <c r="X18" s="125">
        <f>'FY 2016 by Agency'!X255</f>
        <v>6283891</v>
      </c>
      <c r="Y18" s="128">
        <f t="shared" si="18"/>
        <v>793745</v>
      </c>
      <c r="Z18" s="127">
        <f t="shared" si="19"/>
        <v>0.1445763008852588</v>
      </c>
      <c r="AA18" s="135">
        <f>'FY 2016 by Agency'!AA255</f>
        <v>6256680</v>
      </c>
      <c r="AB18" s="128">
        <f t="shared" si="0"/>
        <v>-27211</v>
      </c>
      <c r="AC18" s="124">
        <f t="shared" si="1"/>
        <v>-4.3302788033719869E-3</v>
      </c>
      <c r="AD18" s="129">
        <f>'FY 2016 by Agency'!AF255</f>
        <v>5823850</v>
      </c>
      <c r="AE18" s="128">
        <f t="shared" si="2"/>
        <v>-432830</v>
      </c>
      <c r="AF18" s="124">
        <f t="shared" si="3"/>
        <v>-6.917886163268698E-2</v>
      </c>
      <c r="AG18" s="129">
        <f>'FY 2016 by Agency'!AS255</f>
        <v>6164782.7701300001</v>
      </c>
      <c r="AH18" s="128">
        <f t="shared" si="20"/>
        <v>340932.77013000008</v>
      </c>
      <c r="AI18" s="124">
        <f t="shared" si="21"/>
        <v>5.85407883324605E-2</v>
      </c>
      <c r="AJ18" s="129">
        <f>'FY 2016 by Agency'!BE255</f>
        <v>6393866</v>
      </c>
      <c r="AK18" s="130">
        <f t="shared" si="22"/>
        <v>229083.22986999992</v>
      </c>
      <c r="AL18" s="124">
        <f t="shared" si="23"/>
        <v>3.7159984124658638E-2</v>
      </c>
      <c r="AM18" s="690">
        <f>'FY 2016 by Agency'!BZ255</f>
        <v>6693934</v>
      </c>
      <c r="AN18" s="131">
        <f t="shared" si="4"/>
        <v>300068</v>
      </c>
      <c r="AO18" s="139">
        <f t="shared" si="5"/>
        <v>4.6930605051779317E-2</v>
      </c>
      <c r="AP18" s="688">
        <f>'FY 2016 by Agency'!CF255</f>
        <v>7166598</v>
      </c>
      <c r="AQ18" s="128">
        <f t="shared" si="24"/>
        <v>472664</v>
      </c>
      <c r="AR18" s="124">
        <f t="shared" si="25"/>
        <v>7.0610794788236633E-2</v>
      </c>
      <c r="AS18" s="132">
        <f>'FY 2016 by Agency'!CK255</f>
        <v>0</v>
      </c>
      <c r="AT18" s="132">
        <f t="shared" si="26"/>
        <v>-7166598</v>
      </c>
      <c r="AU18" s="759">
        <f t="shared" si="27"/>
        <v>-1</v>
      </c>
      <c r="AV18" s="762">
        <f>'FY 2016 by Agency'!CN255</f>
        <v>0</v>
      </c>
      <c r="AW18" s="760">
        <f t="shared" si="29"/>
        <v>0</v>
      </c>
      <c r="AX18" s="761" t="e">
        <f t="shared" si="28"/>
        <v>#DIV/0!</v>
      </c>
      <c r="AY18" s="15"/>
      <c r="AZ18" s="15"/>
      <c r="BA18" s="15"/>
      <c r="BB18" s="15"/>
      <c r="BC18" s="15"/>
      <c r="BD18" s="15"/>
      <c r="BE18" s="15"/>
      <c r="BF18" s="15"/>
      <c r="BG18" s="15"/>
      <c r="BH18" s="15"/>
      <c r="BI18" s="15"/>
      <c r="BJ18" s="15"/>
      <c r="BK18" s="15"/>
      <c r="BL18" s="15"/>
      <c r="BM18" s="15"/>
      <c r="BN18" s="15"/>
      <c r="BO18" s="15"/>
      <c r="BP18" s="15"/>
      <c r="BQ18" s="15"/>
      <c r="BR18" s="15"/>
      <c r="BS18" s="15"/>
    </row>
    <row r="19" spans="1:71" ht="19.5" customHeight="1" x14ac:dyDescent="0.2">
      <c r="A19" s="6"/>
      <c r="B19" s="6"/>
      <c r="C19" s="6"/>
      <c r="D19" s="6"/>
      <c r="E19" s="6"/>
      <c r="F19" s="6"/>
      <c r="G19" s="6"/>
      <c r="H19" s="6"/>
      <c r="I19" s="6"/>
      <c r="J19" s="6"/>
      <c r="K19" s="6"/>
      <c r="AA19" s="56"/>
      <c r="AD19" s="17"/>
      <c r="AE19" s="17"/>
      <c r="AF19" s="17"/>
      <c r="AG19" s="17"/>
    </row>
    <row r="20" spans="1:71" ht="19.5" customHeight="1" x14ac:dyDescent="0.2">
      <c r="A20" s="7"/>
      <c r="B20" s="7"/>
      <c r="C20" s="7"/>
      <c r="D20" s="7"/>
      <c r="E20" s="7"/>
      <c r="F20" s="7"/>
      <c r="G20" s="7"/>
      <c r="H20" s="7"/>
      <c r="I20" s="7"/>
      <c r="J20" s="7"/>
      <c r="K20" s="7"/>
      <c r="AA20" s="17"/>
      <c r="AD20" s="17"/>
      <c r="AE20" s="17"/>
      <c r="AF20" s="17"/>
      <c r="AG20" s="17"/>
    </row>
    <row r="21" spans="1:71" ht="19.5" customHeight="1" x14ac:dyDescent="0.2">
      <c r="A21" s="7"/>
      <c r="B21" s="7"/>
      <c r="C21" s="7"/>
      <c r="D21" s="7"/>
      <c r="E21" s="7"/>
      <c r="F21" s="7"/>
      <c r="G21" s="7"/>
      <c r="H21" s="7"/>
      <c r="I21" s="7"/>
      <c r="J21" s="7"/>
      <c r="K21" s="7"/>
    </row>
    <row r="22" spans="1:71" ht="19.5" customHeight="1" x14ac:dyDescent="0.25">
      <c r="A22" s="3"/>
      <c r="B22" s="3"/>
      <c r="C22" s="3"/>
      <c r="D22" s="3"/>
      <c r="E22" s="3"/>
      <c r="F22" s="3"/>
      <c r="G22" s="3"/>
      <c r="H22" s="3"/>
      <c r="I22" s="3"/>
      <c r="J22" s="3"/>
      <c r="K22" s="3"/>
      <c r="L22" s="9"/>
      <c r="M22" s="20"/>
      <c r="N22" s="18"/>
      <c r="O22" s="19"/>
      <c r="P22" s="8"/>
      <c r="Q22" s="8"/>
      <c r="R22" s="19"/>
    </row>
    <row r="23" spans="1:71" ht="19.5" customHeight="1" x14ac:dyDescent="0.25">
      <c r="A23" s="3"/>
      <c r="B23" s="3"/>
      <c r="C23" s="3"/>
      <c r="D23" s="3"/>
      <c r="E23" s="3"/>
      <c r="F23" s="3"/>
      <c r="G23" s="3"/>
      <c r="H23" s="3"/>
      <c r="I23" s="3"/>
      <c r="J23" s="3"/>
      <c r="K23" s="3"/>
      <c r="L23" s="9"/>
      <c r="M23" s="20"/>
      <c r="N23" s="18"/>
      <c r="O23" s="19"/>
      <c r="P23" s="8"/>
      <c r="Q23" s="8"/>
      <c r="R23" s="19"/>
    </row>
    <row r="24" spans="1:71" ht="19.5" customHeight="1" x14ac:dyDescent="0.25">
      <c r="A24" s="3"/>
      <c r="B24" s="3"/>
      <c r="C24" s="3"/>
      <c r="D24" s="3"/>
      <c r="E24" s="3"/>
      <c r="F24" s="3"/>
      <c r="G24" s="3"/>
      <c r="H24" s="3"/>
      <c r="I24" s="3"/>
      <c r="J24" s="3"/>
      <c r="K24" s="3"/>
      <c r="L24" s="9"/>
      <c r="M24" s="20"/>
      <c r="N24" s="18"/>
      <c r="O24" s="19"/>
      <c r="P24" s="8"/>
      <c r="Q24" s="8"/>
      <c r="R24" s="19"/>
    </row>
    <row r="25" spans="1:71" ht="19.5" customHeight="1" x14ac:dyDescent="0.25">
      <c r="A25" s="3"/>
      <c r="B25" s="3"/>
      <c r="C25" s="3"/>
      <c r="D25" s="3"/>
      <c r="E25" s="3"/>
      <c r="F25" s="3"/>
      <c r="G25" s="3"/>
      <c r="H25" s="3"/>
      <c r="I25" s="3"/>
      <c r="J25" s="3"/>
      <c r="K25" s="3"/>
      <c r="L25" s="9"/>
      <c r="M25" s="20"/>
      <c r="N25" s="18"/>
      <c r="O25" s="19"/>
      <c r="P25" s="8"/>
      <c r="Q25" s="8"/>
      <c r="R25" s="19"/>
    </row>
    <row r="26" spans="1:71" ht="19.5" customHeight="1" x14ac:dyDescent="0.25">
      <c r="A26" s="3"/>
      <c r="B26" s="3"/>
      <c r="C26" s="3"/>
      <c r="D26" s="3"/>
      <c r="E26" s="3"/>
      <c r="F26" s="3"/>
      <c r="G26" s="3"/>
      <c r="H26" s="3"/>
      <c r="I26" s="3"/>
      <c r="J26" s="3"/>
      <c r="K26" s="3"/>
      <c r="L26" s="9"/>
      <c r="M26" s="20"/>
      <c r="N26" s="18"/>
      <c r="O26" s="19"/>
      <c r="P26" s="8"/>
      <c r="Q26" s="8"/>
      <c r="R26" s="19"/>
    </row>
    <row r="27" spans="1:71" ht="19.5" customHeight="1" x14ac:dyDescent="0.25">
      <c r="A27" s="3"/>
      <c r="B27" s="3"/>
      <c r="C27" s="3"/>
      <c r="D27" s="3"/>
      <c r="E27" s="3"/>
      <c r="F27" s="3"/>
      <c r="G27" s="3"/>
      <c r="H27" s="3"/>
      <c r="I27" s="3"/>
      <c r="J27" s="3"/>
      <c r="K27" s="3"/>
      <c r="L27" s="9"/>
      <c r="M27" s="20"/>
      <c r="N27" s="18"/>
      <c r="O27" s="19"/>
      <c r="P27" s="8"/>
      <c r="Q27" s="8"/>
      <c r="R27" s="19"/>
    </row>
    <row r="28" spans="1:71" ht="19.5" customHeight="1" x14ac:dyDescent="0.25">
      <c r="A28" s="3"/>
      <c r="B28" s="3"/>
      <c r="C28" s="3"/>
      <c r="D28" s="3"/>
      <c r="E28" s="3"/>
      <c r="F28" s="3"/>
      <c r="G28" s="3"/>
      <c r="H28" s="3"/>
      <c r="I28" s="3"/>
      <c r="J28" s="3"/>
      <c r="K28" s="3"/>
      <c r="L28" s="9"/>
      <c r="M28" s="20"/>
      <c r="N28" s="18"/>
      <c r="O28" s="19"/>
      <c r="P28" s="8"/>
      <c r="Q28" s="8"/>
      <c r="R28" s="19"/>
    </row>
    <row r="29" spans="1:71" ht="19.5" customHeight="1" x14ac:dyDescent="0.25">
      <c r="A29" s="23"/>
      <c r="B29" s="23"/>
      <c r="C29" s="23"/>
      <c r="D29" s="23"/>
      <c r="E29" s="23"/>
      <c r="F29" s="23"/>
      <c r="G29" s="23"/>
      <c r="H29" s="23"/>
      <c r="I29" s="23"/>
      <c r="J29" s="23"/>
      <c r="K29" s="23"/>
      <c r="L29" s="9"/>
      <c r="M29" s="20"/>
      <c r="N29" s="18"/>
      <c r="O29" s="19"/>
      <c r="P29" s="8"/>
      <c r="Q29" s="8"/>
      <c r="R29" s="19"/>
    </row>
    <row r="30" spans="1:71" ht="19.5" customHeight="1" x14ac:dyDescent="0.2">
      <c r="A30" s="7"/>
      <c r="B30" s="7"/>
      <c r="C30" s="7"/>
      <c r="D30" s="7"/>
      <c r="E30" s="7"/>
      <c r="F30" s="7"/>
      <c r="G30" s="7"/>
      <c r="H30" s="7"/>
      <c r="I30" s="7"/>
      <c r="J30" s="7"/>
      <c r="K30" s="7"/>
      <c r="L30" s="7"/>
      <c r="M30" s="7"/>
      <c r="N30" s="9"/>
      <c r="O30" s="9"/>
    </row>
    <row r="31" spans="1:71" ht="19.5" customHeight="1" x14ac:dyDescent="0.2">
      <c r="A31" s="16"/>
      <c r="B31" s="16"/>
      <c r="C31" s="16"/>
      <c r="D31" s="16"/>
      <c r="E31" s="16"/>
      <c r="F31" s="16"/>
      <c r="G31" s="16"/>
      <c r="H31" s="16"/>
      <c r="I31" s="16"/>
      <c r="J31" s="16"/>
      <c r="K31" s="16"/>
      <c r="L31" s="16"/>
      <c r="M31" s="16"/>
      <c r="N31" s="16"/>
      <c r="O31" s="16"/>
      <c r="P31" s="1"/>
      <c r="Q31" s="21"/>
    </row>
    <row r="32" spans="1:71" ht="19.5" customHeight="1" x14ac:dyDescent="0.2">
      <c r="A32" s="16"/>
      <c r="B32" s="16"/>
      <c r="C32" s="16"/>
      <c r="D32" s="16"/>
      <c r="E32" s="16"/>
      <c r="F32" s="16"/>
      <c r="G32" s="16"/>
      <c r="H32" s="16"/>
      <c r="I32" s="16"/>
      <c r="J32" s="16"/>
      <c r="K32" s="16"/>
      <c r="L32" s="16"/>
      <c r="M32" s="16"/>
      <c r="N32" s="16"/>
      <c r="O32" s="16"/>
      <c r="P32" s="1"/>
      <c r="Q32" s="21"/>
    </row>
    <row r="33" spans="1:17" ht="19.5" customHeight="1" x14ac:dyDescent="0.2">
      <c r="A33" s="16"/>
      <c r="B33" s="16"/>
      <c r="C33" s="16"/>
      <c r="D33" s="16"/>
      <c r="E33" s="16"/>
      <c r="F33" s="16"/>
      <c r="G33" s="16"/>
      <c r="H33" s="16"/>
      <c r="I33" s="16"/>
      <c r="J33" s="16"/>
      <c r="K33" s="16"/>
      <c r="L33" s="16"/>
      <c r="M33" s="16"/>
      <c r="N33" s="16"/>
      <c r="O33" s="16"/>
      <c r="P33" s="1"/>
      <c r="Q33" s="21"/>
    </row>
    <row r="34" spans="1:17" ht="19.5" customHeight="1" x14ac:dyDescent="0.2">
      <c r="A34" s="16"/>
      <c r="B34" s="16"/>
      <c r="C34" s="16"/>
      <c r="D34" s="16"/>
      <c r="E34" s="16"/>
      <c r="F34" s="16"/>
      <c r="G34" s="16"/>
      <c r="H34" s="16"/>
      <c r="I34" s="16"/>
      <c r="J34" s="16"/>
      <c r="K34" s="16"/>
      <c r="L34" s="16"/>
      <c r="M34" s="16"/>
      <c r="N34" s="16"/>
      <c r="O34" s="16"/>
      <c r="P34" s="1"/>
      <c r="Q34" s="21"/>
    </row>
    <row r="35" spans="1:17" ht="19.5" customHeight="1" x14ac:dyDescent="0.2">
      <c r="A35" s="16"/>
      <c r="B35" s="16"/>
      <c r="C35" s="16"/>
      <c r="D35" s="16"/>
      <c r="E35" s="16"/>
      <c r="F35" s="16"/>
      <c r="G35" s="16"/>
      <c r="H35" s="16"/>
      <c r="I35" s="16"/>
      <c r="J35" s="16"/>
      <c r="K35" s="16"/>
      <c r="L35" s="16"/>
      <c r="M35" s="16"/>
      <c r="N35" s="16"/>
      <c r="O35" s="16"/>
      <c r="P35" s="1"/>
      <c r="Q35" s="21"/>
    </row>
    <row r="36" spans="1:17" ht="19.5" customHeight="1" x14ac:dyDescent="0.2">
      <c r="A36" s="16"/>
      <c r="B36" s="16"/>
      <c r="C36" s="16"/>
      <c r="D36" s="16"/>
      <c r="E36" s="16"/>
      <c r="F36" s="16"/>
      <c r="G36" s="16"/>
      <c r="H36" s="16"/>
      <c r="I36" s="16"/>
      <c r="J36" s="16"/>
      <c r="K36" s="16"/>
      <c r="L36" s="16"/>
      <c r="M36" s="16"/>
      <c r="N36" s="16"/>
      <c r="O36" s="16"/>
      <c r="P36" s="1"/>
      <c r="Q36" s="21"/>
    </row>
    <row r="37" spans="1:17" ht="19.5" customHeight="1" x14ac:dyDescent="0.2">
      <c r="A37" s="16"/>
      <c r="B37" s="16"/>
      <c r="C37" s="16"/>
      <c r="D37" s="16"/>
      <c r="E37" s="16"/>
      <c r="F37" s="16"/>
      <c r="G37" s="16"/>
      <c r="H37" s="16"/>
      <c r="I37" s="16"/>
      <c r="J37" s="16"/>
      <c r="K37" s="16"/>
      <c r="L37" s="16"/>
      <c r="M37" s="16"/>
      <c r="N37" s="16"/>
      <c r="O37" s="16"/>
      <c r="P37" s="1"/>
      <c r="Q37" s="21"/>
    </row>
    <row r="38" spans="1:17" ht="19.5" customHeight="1" x14ac:dyDescent="0.2">
      <c r="A38" s="16"/>
      <c r="B38" s="16"/>
      <c r="C38" s="16"/>
      <c r="D38" s="16"/>
      <c r="E38" s="16"/>
      <c r="F38" s="16"/>
      <c r="G38" s="16"/>
      <c r="H38" s="16"/>
      <c r="I38" s="16"/>
      <c r="J38" s="16"/>
      <c r="K38" s="16"/>
      <c r="L38" s="16"/>
      <c r="M38" s="16"/>
      <c r="N38" s="16"/>
      <c r="O38" s="16"/>
      <c r="P38" s="1"/>
      <c r="Q38" s="21"/>
    </row>
    <row r="39" spans="1:17" ht="19.5" customHeight="1" x14ac:dyDescent="0.2">
      <c r="A39" s="16"/>
      <c r="B39" s="16"/>
      <c r="C39" s="16"/>
      <c r="D39" s="16"/>
      <c r="E39" s="16"/>
      <c r="F39" s="16"/>
      <c r="G39" s="16"/>
      <c r="H39" s="16"/>
      <c r="I39" s="16"/>
      <c r="J39" s="16"/>
      <c r="K39" s="16"/>
      <c r="L39" s="16"/>
      <c r="M39" s="16"/>
      <c r="N39" s="16"/>
      <c r="O39" s="16"/>
      <c r="P39" s="1"/>
      <c r="Q39" s="21"/>
    </row>
    <row r="40" spans="1:17" ht="19.5" customHeight="1" x14ac:dyDescent="0.2">
      <c r="A40" s="16"/>
      <c r="B40" s="16"/>
      <c r="C40" s="16"/>
      <c r="D40" s="16"/>
      <c r="E40" s="16"/>
      <c r="F40" s="16"/>
      <c r="G40" s="16"/>
      <c r="H40" s="16"/>
      <c r="I40" s="16"/>
      <c r="J40" s="16"/>
      <c r="K40" s="16"/>
      <c r="L40" s="16"/>
      <c r="M40" s="16"/>
      <c r="N40" s="16"/>
      <c r="O40" s="16"/>
      <c r="P40" s="1"/>
      <c r="Q40" s="21"/>
    </row>
    <row r="41" spans="1:17" ht="19.5" customHeight="1" x14ac:dyDescent="0.2">
      <c r="A41" s="16"/>
      <c r="B41" s="16"/>
      <c r="C41" s="16"/>
      <c r="D41" s="16"/>
      <c r="E41" s="16"/>
      <c r="F41" s="16"/>
      <c r="G41" s="16"/>
      <c r="H41" s="16"/>
      <c r="I41" s="16"/>
      <c r="J41" s="16"/>
      <c r="K41" s="16"/>
      <c r="L41" s="16"/>
      <c r="M41" s="16"/>
      <c r="N41" s="16"/>
      <c r="O41" s="16"/>
      <c r="P41" s="1"/>
      <c r="Q41" s="21"/>
    </row>
    <row r="42" spans="1:17" ht="19.5" customHeight="1" x14ac:dyDescent="0.2">
      <c r="A42" s="16"/>
      <c r="B42" s="16"/>
      <c r="C42" s="16"/>
      <c r="D42" s="16"/>
      <c r="E42" s="16"/>
      <c r="F42" s="16"/>
      <c r="G42" s="16"/>
      <c r="H42" s="16"/>
      <c r="I42" s="16"/>
      <c r="J42" s="16"/>
      <c r="K42" s="16"/>
      <c r="L42" s="16"/>
      <c r="M42" s="16"/>
      <c r="N42" s="16"/>
      <c r="O42" s="16"/>
      <c r="P42" s="1"/>
      <c r="Q42" s="21"/>
    </row>
    <row r="43" spans="1:17" ht="19.5" customHeight="1" x14ac:dyDescent="0.2">
      <c r="A43" s="16"/>
      <c r="B43" s="16"/>
      <c r="C43" s="16"/>
      <c r="D43" s="16"/>
      <c r="E43" s="16"/>
      <c r="F43" s="16"/>
      <c r="G43" s="16"/>
      <c r="H43" s="16"/>
      <c r="I43" s="16"/>
      <c r="J43" s="16"/>
      <c r="K43" s="16"/>
      <c r="L43" s="16"/>
      <c r="M43" s="16"/>
      <c r="N43" s="16"/>
      <c r="O43" s="16"/>
      <c r="P43" s="1"/>
      <c r="Q43" s="21"/>
    </row>
    <row r="44" spans="1:17" ht="19.5" customHeight="1" x14ac:dyDescent="0.2">
      <c r="A44" s="16"/>
      <c r="B44" s="16"/>
      <c r="C44" s="16"/>
      <c r="D44" s="16"/>
      <c r="E44" s="16"/>
      <c r="F44" s="16"/>
      <c r="G44" s="16"/>
      <c r="H44" s="16"/>
      <c r="I44" s="16"/>
      <c r="J44" s="16"/>
      <c r="K44" s="16"/>
      <c r="L44" s="16"/>
      <c r="M44" s="16"/>
      <c r="N44" s="16"/>
      <c r="O44" s="16"/>
      <c r="P44" s="1"/>
      <c r="Q44" s="21"/>
    </row>
    <row r="45" spans="1:17" ht="19.5" customHeight="1" x14ac:dyDescent="0.2">
      <c r="A45" s="16"/>
      <c r="B45" s="16"/>
      <c r="C45" s="16"/>
      <c r="D45" s="16"/>
      <c r="E45" s="16"/>
      <c r="F45" s="16"/>
      <c r="G45" s="16"/>
      <c r="H45" s="16"/>
      <c r="I45" s="16"/>
      <c r="J45" s="16"/>
      <c r="K45" s="16"/>
      <c r="L45" s="16"/>
      <c r="M45" s="16"/>
      <c r="N45" s="16"/>
      <c r="O45" s="16"/>
      <c r="P45" s="1"/>
      <c r="Q45" s="21"/>
    </row>
    <row r="46" spans="1:17" ht="19.5" customHeight="1" x14ac:dyDescent="0.2">
      <c r="A46" s="16"/>
      <c r="B46" s="16"/>
      <c r="C46" s="16"/>
      <c r="D46" s="16"/>
      <c r="E46" s="16"/>
      <c r="F46" s="16"/>
      <c r="G46" s="16"/>
      <c r="H46" s="16"/>
      <c r="I46" s="16"/>
      <c r="J46" s="16"/>
      <c r="K46" s="16"/>
      <c r="L46" s="16"/>
      <c r="M46" s="16"/>
      <c r="N46" s="16"/>
      <c r="O46" s="16"/>
      <c r="P46" s="1"/>
      <c r="Q46" s="21"/>
    </row>
    <row r="47" spans="1:17" ht="19.5" customHeight="1" x14ac:dyDescent="0.2">
      <c r="A47" s="16"/>
      <c r="B47" s="16"/>
      <c r="C47" s="16"/>
      <c r="D47" s="16"/>
      <c r="E47" s="16"/>
      <c r="F47" s="16"/>
      <c r="G47" s="16"/>
      <c r="H47" s="16"/>
      <c r="I47" s="16"/>
      <c r="J47" s="16"/>
      <c r="K47" s="16"/>
      <c r="L47" s="16"/>
      <c r="M47" s="16"/>
      <c r="N47" s="16"/>
      <c r="O47" s="16"/>
      <c r="P47" s="1"/>
      <c r="Q47" s="21"/>
    </row>
    <row r="48" spans="1:17" ht="19.5" customHeight="1" x14ac:dyDescent="0.2">
      <c r="A48" s="16"/>
      <c r="B48" s="16"/>
      <c r="C48" s="16"/>
      <c r="D48" s="16"/>
      <c r="E48" s="16"/>
      <c r="F48" s="16"/>
      <c r="G48" s="16"/>
      <c r="H48" s="16"/>
      <c r="I48" s="16"/>
      <c r="J48" s="16"/>
      <c r="K48" s="16"/>
      <c r="L48" s="16"/>
      <c r="M48" s="16"/>
      <c r="N48" s="16"/>
      <c r="O48" s="16"/>
      <c r="P48" s="1"/>
      <c r="Q48" s="21"/>
    </row>
    <row r="49" spans="1:17" ht="19.5" customHeight="1" x14ac:dyDescent="0.2">
      <c r="A49" s="16"/>
      <c r="B49" s="16"/>
      <c r="C49" s="16"/>
      <c r="D49" s="16"/>
      <c r="E49" s="16"/>
      <c r="F49" s="16"/>
      <c r="G49" s="16"/>
      <c r="H49" s="16"/>
      <c r="I49" s="16"/>
      <c r="J49" s="16"/>
      <c r="K49" s="16"/>
      <c r="L49" s="16"/>
      <c r="M49" s="16"/>
      <c r="N49" s="16"/>
      <c r="O49" s="16"/>
      <c r="P49" s="1"/>
      <c r="Q49" s="21"/>
    </row>
    <row r="50" spans="1:17" ht="19.5" customHeight="1" x14ac:dyDescent="0.2">
      <c r="L50" s="16"/>
      <c r="M50" s="16"/>
      <c r="N50" s="16"/>
      <c r="O50" s="16"/>
      <c r="P50" s="1"/>
      <c r="Q50" s="21"/>
    </row>
    <row r="51" spans="1:17" ht="19.5" customHeight="1" x14ac:dyDescent="0.2">
      <c r="A51" s="1"/>
      <c r="B51" s="1"/>
      <c r="C51" s="1"/>
      <c r="D51" s="1"/>
      <c r="E51" s="1"/>
      <c r="F51" s="1"/>
      <c r="G51" s="1"/>
      <c r="H51" s="1"/>
      <c r="I51" s="1"/>
      <c r="J51" s="1"/>
      <c r="K51" s="1"/>
      <c r="L51" s="1"/>
      <c r="M51" s="1"/>
      <c r="N51" s="1"/>
      <c r="O51" s="1"/>
      <c r="P51" s="1"/>
      <c r="Q51" s="21"/>
    </row>
    <row r="52" spans="1:17" ht="19.5" customHeight="1" x14ac:dyDescent="0.2">
      <c r="A52" s="1"/>
      <c r="B52" s="1"/>
      <c r="C52" s="1"/>
      <c r="D52" s="1"/>
      <c r="E52" s="1"/>
      <c r="F52" s="1"/>
      <c r="G52" s="1"/>
      <c r="H52" s="1"/>
      <c r="I52" s="1"/>
      <c r="J52" s="1"/>
      <c r="K52" s="1"/>
      <c r="L52" s="1"/>
      <c r="M52" s="1"/>
      <c r="N52" s="1"/>
      <c r="O52" s="1"/>
      <c r="P52" s="1"/>
      <c r="Q52" s="21"/>
    </row>
    <row r="53" spans="1:17" ht="19.5" customHeight="1" x14ac:dyDescent="0.2">
      <c r="A53" s="1"/>
      <c r="B53" s="1"/>
      <c r="C53" s="1"/>
      <c r="D53" s="1"/>
      <c r="E53" s="1"/>
      <c r="F53" s="1"/>
      <c r="G53" s="1"/>
      <c r="H53" s="1"/>
      <c r="I53" s="1"/>
      <c r="J53" s="1"/>
      <c r="K53" s="1"/>
      <c r="L53" s="1"/>
      <c r="M53" s="1"/>
      <c r="N53" s="1"/>
      <c r="O53" s="1"/>
      <c r="P53" s="1"/>
      <c r="Q53" s="21"/>
    </row>
    <row r="54" spans="1:17" ht="19.5" customHeight="1" x14ac:dyDescent="0.2">
      <c r="A54" s="1"/>
      <c r="B54" s="1"/>
      <c r="C54" s="1"/>
      <c r="D54" s="1"/>
      <c r="E54" s="1"/>
      <c r="F54" s="1"/>
      <c r="G54" s="1"/>
      <c r="H54" s="1"/>
      <c r="I54" s="1"/>
      <c r="J54" s="1"/>
      <c r="K54" s="1"/>
      <c r="L54" s="1"/>
      <c r="M54" s="1"/>
      <c r="N54" s="1"/>
      <c r="O54" s="1"/>
      <c r="P54" s="1"/>
      <c r="Q54" s="21"/>
    </row>
    <row r="55" spans="1:17" ht="19.5" customHeight="1" x14ac:dyDescent="0.2">
      <c r="A55" s="1"/>
      <c r="B55" s="1"/>
      <c r="C55" s="1"/>
      <c r="D55" s="1"/>
      <c r="E55" s="1"/>
      <c r="F55" s="1"/>
      <c r="G55" s="1"/>
      <c r="H55" s="1"/>
      <c r="I55" s="1"/>
      <c r="J55" s="1"/>
      <c r="K55" s="1"/>
      <c r="L55" s="1"/>
      <c r="M55" s="1"/>
      <c r="N55" s="1"/>
      <c r="O55" s="1"/>
      <c r="P55" s="1"/>
      <c r="Q55" s="21"/>
    </row>
    <row r="56" spans="1:17" ht="19.5" customHeight="1" x14ac:dyDescent="0.2">
      <c r="A56" s="1"/>
      <c r="B56" s="1"/>
      <c r="C56" s="1"/>
      <c r="D56" s="1"/>
      <c r="E56" s="1"/>
      <c r="F56" s="1"/>
      <c r="G56" s="1"/>
      <c r="H56" s="1"/>
      <c r="I56" s="1"/>
      <c r="J56" s="1"/>
      <c r="K56" s="1"/>
      <c r="L56" s="1"/>
      <c r="M56" s="1"/>
      <c r="N56" s="1"/>
      <c r="O56" s="1"/>
      <c r="P56" s="1"/>
      <c r="Q56" s="21"/>
    </row>
    <row r="57" spans="1:17" ht="19.5" customHeight="1" x14ac:dyDescent="0.2">
      <c r="A57" s="1"/>
      <c r="B57" s="1"/>
      <c r="C57" s="1"/>
      <c r="D57" s="1"/>
      <c r="E57" s="1"/>
      <c r="F57" s="1"/>
      <c r="G57" s="1"/>
      <c r="H57" s="1"/>
      <c r="I57" s="1"/>
      <c r="J57" s="1"/>
      <c r="K57" s="1"/>
      <c r="L57" s="1"/>
      <c r="M57" s="1"/>
      <c r="N57" s="1"/>
      <c r="O57" s="1"/>
      <c r="P57" s="1"/>
      <c r="Q57" s="21"/>
    </row>
    <row r="58" spans="1:17" ht="19.5" customHeight="1" x14ac:dyDescent="0.2">
      <c r="A58" s="1"/>
      <c r="B58" s="1"/>
      <c r="C58" s="1"/>
      <c r="D58" s="1"/>
      <c r="E58" s="1"/>
      <c r="F58" s="1"/>
      <c r="G58" s="1"/>
      <c r="H58" s="1"/>
      <c r="I58" s="1"/>
      <c r="J58" s="1"/>
      <c r="K58" s="1"/>
      <c r="L58" s="1"/>
      <c r="M58" s="1"/>
      <c r="N58" s="1"/>
      <c r="O58" s="1"/>
      <c r="P58" s="1"/>
      <c r="Q58" s="21"/>
    </row>
    <row r="59" spans="1:17" ht="19.5" customHeight="1" x14ac:dyDescent="0.2">
      <c r="A59" s="1"/>
      <c r="B59" s="1"/>
      <c r="C59" s="1"/>
      <c r="D59" s="1"/>
      <c r="E59" s="1"/>
      <c r="F59" s="1"/>
      <c r="G59" s="1"/>
      <c r="H59" s="1"/>
      <c r="I59" s="1"/>
      <c r="J59" s="1"/>
      <c r="K59" s="1"/>
      <c r="L59" s="1"/>
      <c r="M59" s="1"/>
      <c r="N59" s="1"/>
      <c r="O59" s="1"/>
      <c r="P59" s="1"/>
      <c r="Q59" s="21"/>
    </row>
    <row r="60" spans="1:17" ht="19.5" customHeight="1" x14ac:dyDescent="0.2">
      <c r="A60" s="1"/>
      <c r="B60" s="1"/>
      <c r="C60" s="1"/>
      <c r="D60" s="1"/>
      <c r="E60" s="1"/>
      <c r="F60" s="1"/>
      <c r="G60" s="1"/>
      <c r="H60" s="1"/>
      <c r="I60" s="1"/>
      <c r="J60" s="1"/>
      <c r="K60" s="1"/>
      <c r="L60" s="1"/>
      <c r="M60" s="1"/>
      <c r="N60" s="1"/>
      <c r="O60" s="1"/>
      <c r="P60" s="1"/>
      <c r="Q60" s="21"/>
    </row>
    <row r="61" spans="1:17" ht="19.5" customHeight="1" x14ac:dyDescent="0.2">
      <c r="A61" s="1"/>
      <c r="B61" s="1"/>
      <c r="C61" s="1"/>
      <c r="D61" s="1"/>
      <c r="E61" s="1"/>
      <c r="F61" s="1"/>
      <c r="G61" s="1"/>
      <c r="H61" s="1"/>
      <c r="I61" s="1"/>
      <c r="J61" s="1"/>
      <c r="K61" s="1"/>
      <c r="L61" s="1"/>
      <c r="M61" s="1"/>
      <c r="N61" s="1"/>
      <c r="O61" s="1"/>
      <c r="P61" s="1"/>
      <c r="Q61" s="21"/>
    </row>
    <row r="62" spans="1:17" ht="19.5" customHeight="1" x14ac:dyDescent="0.2">
      <c r="A62" s="1"/>
      <c r="B62" s="1"/>
      <c r="C62" s="1"/>
      <c r="D62" s="1"/>
      <c r="E62" s="1"/>
      <c r="F62" s="1"/>
      <c r="G62" s="1"/>
      <c r="H62" s="1"/>
      <c r="I62" s="1"/>
      <c r="J62" s="1"/>
      <c r="K62" s="1"/>
      <c r="L62" s="1"/>
      <c r="M62" s="1"/>
      <c r="N62" s="1"/>
      <c r="O62" s="1"/>
      <c r="P62" s="1"/>
      <c r="Q62" s="21"/>
    </row>
    <row r="63" spans="1:17" ht="19.5" customHeight="1" x14ac:dyDescent="0.2">
      <c r="A63" s="1"/>
      <c r="B63" s="1"/>
      <c r="C63" s="1"/>
      <c r="D63" s="1"/>
      <c r="E63" s="1"/>
      <c r="F63" s="1"/>
      <c r="G63" s="1"/>
      <c r="H63" s="1"/>
      <c r="I63" s="1"/>
      <c r="J63" s="1"/>
      <c r="K63" s="1"/>
      <c r="L63" s="1"/>
      <c r="M63" s="1"/>
      <c r="N63" s="1"/>
      <c r="O63" s="1"/>
      <c r="P63" s="1"/>
      <c r="Q63" s="21"/>
    </row>
    <row r="64" spans="1:17" ht="19.5" customHeight="1" x14ac:dyDescent="0.2">
      <c r="A64" s="1"/>
      <c r="B64" s="1"/>
      <c r="C64" s="1"/>
      <c r="D64" s="1"/>
      <c r="E64" s="1"/>
      <c r="F64" s="1"/>
      <c r="G64" s="1"/>
      <c r="H64" s="1"/>
      <c r="I64" s="1"/>
      <c r="J64" s="1"/>
      <c r="K64" s="1"/>
      <c r="L64" s="1"/>
      <c r="M64" s="1"/>
      <c r="N64" s="1"/>
      <c r="O64" s="1"/>
      <c r="P64" s="1"/>
      <c r="Q64" s="21"/>
    </row>
  </sheetData>
  <customSheetViews>
    <customSheetView guid="{AEFEB150-9213-45F5-A178-7AC71E46DB11}" scale="80" topLeftCell="A7">
      <pane xSplit="1" ySplit="4" topLeftCell="B11" activePane="bottomRight" state="frozen"/>
      <selection pane="bottomRight" activeCell="A10" sqref="A10"/>
      <pageMargins left="0" right="0" top="0" bottom="0" header="0" footer="0"/>
      <pageSetup orientation="portrait" r:id="rId1"/>
      <headerFooter alignWithMargins="0"/>
    </customSheetView>
    <customSheetView guid="{AB763728-FC8E-40B1-8BAD-FF6772AD9A46}" scale="80" topLeftCell="A7">
      <pane xSplit="1" ySplit="4" topLeftCell="B11" activePane="bottomRight" state="frozen"/>
      <selection pane="bottomRight" activeCell="A10" sqref="A10"/>
      <pageMargins left="0" right="0" top="0" bottom="0" header="0" footer="0"/>
      <pageSetup orientation="portrait" r:id="rId2"/>
      <headerFooter alignWithMargins="0"/>
    </customSheetView>
    <customSheetView guid="{08B0A6E6-0C62-4331-9E9A-05DFF5B8DF5B}" scale="80" topLeftCell="A7">
      <pane xSplit="1" ySplit="4" topLeftCell="AK11" activePane="bottomRight" state="frozen"/>
      <selection pane="bottomRight" activeCell="AT12" sqref="AT12"/>
      <pageMargins left="0" right="0" top="0" bottom="0" header="0" footer="0"/>
      <pageSetup orientation="portrait" r:id="rId3"/>
      <headerFooter alignWithMargins="0"/>
    </customSheetView>
    <customSheetView guid="{70E2A0B1-0EA6-43AE-8715-395179465BE5}" scale="80" topLeftCell="A7">
      <pane xSplit="1" ySplit="4" topLeftCell="AG11" activePane="bottomRight" state="frozen"/>
      <selection pane="bottomRight" activeCell="AN11" sqref="AN11"/>
      <pageMargins left="0" right="0" top="0" bottom="0" header="0" footer="0"/>
      <pageSetup orientation="portrait" r:id="rId4"/>
      <headerFooter alignWithMargins="0"/>
    </customSheetView>
    <customSheetView guid="{34052DE1-5E82-4B7C-8FA6-8E533676FB0A}" scale="80" topLeftCell="A7">
      <pane xSplit="1" ySplit="4" topLeftCell="AG11" activePane="bottomRight" state="frozen"/>
      <selection pane="bottomRight" activeCell="AN11" sqref="AN11"/>
      <pageMargins left="0" right="0" top="0" bottom="0" header="0" footer="0"/>
      <pageSetup orientation="portrait" r:id="rId5"/>
      <headerFooter alignWithMargins="0"/>
    </customSheetView>
    <customSheetView guid="{A2518DB3-3A80-4035-9307-EC50A7C923F2}" scale="80" topLeftCell="A7">
      <pane xSplit="1" ySplit="4" topLeftCell="AG11" activePane="bottomRight" state="frozen"/>
      <selection pane="bottomRight" activeCell="AN11" sqref="AN11"/>
      <pageMargins left="0" right="0" top="0" bottom="0" header="0" footer="0"/>
      <pageSetup orientation="portrait" r:id="rId6"/>
      <headerFooter alignWithMargins="0"/>
    </customSheetView>
    <customSheetView guid="{E81D05A4-5B21-42D3-A8D3-906ABCABC0F4}" scale="80" hiddenColumns="1" topLeftCell="A7">
      <pane xSplit="1" ySplit="4" topLeftCell="AM11" activePane="bottomRight" state="frozen"/>
      <selection pane="bottomRight" activeCell="AN11" sqref="AN11"/>
      <pageMargins left="0" right="0" top="0" bottom="0" header="0" footer="0"/>
      <pageSetup orientation="portrait" r:id="rId7"/>
      <headerFooter alignWithMargins="0"/>
    </customSheetView>
    <customSheetView guid="{E44F5FE1-54FC-4AB3-84F9-7D65ACF2DDE7}" scale="80" hiddenColumns="1" topLeftCell="A7">
      <pane xSplit="1" ySplit="4" topLeftCell="B11" activePane="bottomRight" state="frozen"/>
      <selection pane="bottomRight" activeCell="A10" sqref="A10"/>
      <pageMargins left="0" right="0" top="0" bottom="0" header="0" footer="0"/>
      <pageSetup orientation="portrait" r:id="rId8"/>
      <headerFooter alignWithMargins="0"/>
    </customSheetView>
    <customSheetView guid="{94DA13B6-7351-40F3-8CF7-A4211EC439DA}" scale="80" hiddenColumns="1" topLeftCell="A7">
      <pane xSplit="1" ySplit="4" topLeftCell="B11" activePane="bottomRight" state="frozen"/>
      <selection pane="bottomRight" activeCell="A10" sqref="A10"/>
      <pageMargins left="0" right="0" top="0" bottom="0" header="0" footer="0"/>
      <pageSetup orientation="portrait" r:id="rId9"/>
      <headerFooter alignWithMargins="0"/>
    </customSheetView>
    <customSheetView guid="{8F508F4D-4777-42BE-9707-8CB9355F7BDB}" scale="80" hiddenColumns="1" topLeftCell="A7">
      <pane xSplit="1" ySplit="4" topLeftCell="B11" activePane="bottomRight" state="frozen"/>
      <selection pane="bottomRight" activeCell="A10" sqref="A10"/>
      <pageMargins left="0" right="0" top="0" bottom="0" header="0" footer="0"/>
      <pageSetup orientation="portrait" r:id="rId10"/>
      <headerFooter alignWithMargins="0"/>
    </customSheetView>
    <customSheetView guid="{F784130D-F647-4ABA-8943-C79CA5B0FDC4}" scale="80" hiddenColumns="1" topLeftCell="A7">
      <pane xSplit="1" ySplit="4" topLeftCell="AD11" activePane="bottomRight" state="frozen"/>
      <selection pane="bottomRight" activeCell="A8" sqref="A8"/>
      <pageMargins left="0" right="0" top="0" bottom="0" header="0" footer="0"/>
      <pageSetup orientation="portrait" r:id="rId11"/>
      <headerFooter alignWithMargins="0"/>
    </customSheetView>
    <customSheetView guid="{1E5198E1-BA46-4CE0-8628-4F695B0D7A3B}" scale="80" hiddenColumns="1" topLeftCell="A7">
      <pane xSplit="1" ySplit="4" topLeftCell="B11" activePane="bottomRight" state="frozen"/>
      <selection pane="bottomRight" activeCell="A10" sqref="A10"/>
      <pageMargins left="0" right="0" top="0" bottom="0" header="0" footer="0"/>
      <pageSetup orientation="portrait" r:id="rId12"/>
      <headerFooter alignWithMargins="0"/>
    </customSheetView>
    <customSheetView guid="{455630F5-40FC-47DB-8AD4-712C20B8FB91}" scale="80" hiddenColumns="1" topLeftCell="A7">
      <pane xSplit="1" ySplit="4" topLeftCell="AG11" activePane="bottomRight" state="frozen"/>
      <selection pane="bottomRight" activeCell="AN11" sqref="AN11"/>
      <pageMargins left="0" right="0" top="0" bottom="0" header="0" footer="0"/>
      <pageSetup orientation="portrait" r:id="rId13"/>
      <headerFooter alignWithMargins="0"/>
    </customSheetView>
    <customSheetView guid="{9D4F0482-B164-4671-805A-E0D2D4DD4720}" scale="80" hiddenColumns="1" topLeftCell="A7">
      <pane xSplit="1" ySplit="4" topLeftCell="B11" activePane="bottomRight" state="frozen"/>
      <selection pane="bottomRight" activeCell="A10" sqref="A10"/>
      <pageMargins left="0" right="0" top="0" bottom="0" header="0" footer="0"/>
      <pageSetup orientation="portrait" r:id="rId14"/>
      <headerFooter alignWithMargins="0"/>
    </customSheetView>
    <customSheetView guid="{567C3053-2D8E-4705-8DC7-18896C5303CA}" scale="80" showPageBreaks="1" hiddenColumns="1" topLeftCell="A7">
      <pane xSplit="1" ySplit="4" topLeftCell="AM11" activePane="bottomRight" state="frozen"/>
      <selection pane="bottomRight" activeCell="AQ20" sqref="AQ20"/>
      <pageMargins left="0" right="0" top="0" bottom="0" header="0" footer="0"/>
      <pageSetup orientation="portrait" r:id="rId15"/>
      <headerFooter alignWithMargins="0"/>
    </customSheetView>
    <customSheetView guid="{7A9890A5-7CC2-466F-AA52-39E8D428DC1C}" scale="80" hiddenColumns="1" topLeftCell="A7">
      <pane xSplit="1" ySplit="4" topLeftCell="B11" activePane="bottomRight" state="frozen"/>
      <selection pane="bottomRight" activeCell="A24" sqref="A24"/>
      <pageMargins left="0" right="0" top="0" bottom="0" header="0" footer="0"/>
      <pageSetup orientation="portrait" r:id="rId16"/>
      <headerFooter alignWithMargins="0"/>
    </customSheetView>
    <customSheetView guid="{CBA65C9F-528B-4CA5-AFDD-C38CD40775BB}" scale="80" hiddenColumns="1" topLeftCell="A7">
      <pane xSplit="1" ySplit="4" topLeftCell="B11" activePane="bottomRight" state="frozen"/>
      <selection pane="bottomRight" activeCell="A10" sqref="A10"/>
      <pageMargins left="0" right="0" top="0" bottom="0" header="0" footer="0"/>
      <pageSetup orientation="portrait" r:id="rId17"/>
      <headerFooter alignWithMargins="0"/>
    </customSheetView>
    <customSheetView guid="{78CA186D-B240-44D5-8A24-D241DE0B0FD9}" scale="80" topLeftCell="A7">
      <pane xSplit="1" ySplit="4" topLeftCell="AK11" activePane="bottomRight" state="frozen"/>
      <selection pane="bottomRight" activeCell="AS11" sqref="AS11"/>
      <pageMargins left="0" right="0" top="0" bottom="0" header="0" footer="0"/>
      <pageSetup orientation="portrait" r:id="rId18"/>
      <headerFooter alignWithMargins="0"/>
    </customSheetView>
    <customSheetView guid="{5102CD51-6323-4C0C-991F-AF8276ECBB13}" scale="80" topLeftCell="A7">
      <pane xSplit="1" ySplit="4" topLeftCell="AA11" activePane="bottomRight" state="frozen"/>
      <selection pane="bottomRight" activeCell="AA11" sqref="AA11"/>
      <pageMargins left="0.75" right="0.75" top="1" bottom="1" header="0.5" footer="0.5"/>
      <pageSetup orientation="portrait" r:id="rId19"/>
      <headerFooter alignWithMargins="0"/>
    </customSheetView>
    <customSheetView guid="{FF124C4D-20DF-4C1B-B072-A9ABB2F1106A}" scale="80" topLeftCell="A7">
      <pane xSplit="1" ySplit="4" topLeftCell="AG11" activePane="bottomRight" state="frozen"/>
      <selection pane="bottomRight" activeCell="AN11" sqref="AN11"/>
      <pageMargins left="0" right="0" top="0" bottom="0" header="0" footer="0"/>
      <pageSetup orientation="portrait" r:id="rId20"/>
      <headerFooter alignWithMargins="0"/>
    </customSheetView>
    <customSheetView guid="{50528D02-548E-47E0-94D7-D1E79CD3569C}" scale="80" topLeftCell="A7">
      <pane xSplit="1" ySplit="4" topLeftCell="AG11" activePane="bottomRight" state="frozen"/>
      <selection pane="bottomRight" activeCell="AN11" sqref="AN11"/>
      <pageMargins left="0" right="0" top="0" bottom="0" header="0" footer="0"/>
      <pageSetup orientation="portrait" r:id="rId21"/>
      <headerFooter alignWithMargins="0"/>
    </customSheetView>
  </customSheetViews>
  <mergeCells count="16">
    <mergeCell ref="AV9:AV10"/>
    <mergeCell ref="AW9:AX9"/>
    <mergeCell ref="AS9:AS10"/>
    <mergeCell ref="AQ9:AR9"/>
    <mergeCell ref="AT9:AU9"/>
    <mergeCell ref="AP9:AP10"/>
    <mergeCell ref="AH9:AI9"/>
    <mergeCell ref="AE9:AF9"/>
    <mergeCell ref="AD9:AD10"/>
    <mergeCell ref="AG9:AG10"/>
    <mergeCell ref="M9:N9"/>
    <mergeCell ref="P9:Q9"/>
    <mergeCell ref="AB9:AC9"/>
    <mergeCell ref="Y9:Z9"/>
    <mergeCell ref="V9:W9"/>
    <mergeCell ref="S9:T9"/>
  </mergeCells>
  <phoneticPr fontId="0" type="noConversion"/>
  <pageMargins left="0" right="0" top="0" bottom="0" header="0" footer="0"/>
  <pageSetup orientation="portrait" r:id="rId22"/>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S58"/>
  <sheetViews>
    <sheetView topLeftCell="K1" zoomScale="85" zoomScaleNormal="85" workbookViewId="0">
      <selection activeCell="W14" sqref="W14"/>
    </sheetView>
  </sheetViews>
  <sheetFormatPr defaultRowHeight="19.5" customHeight="1" x14ac:dyDescent="0.2"/>
  <cols>
    <col min="1" max="1" width="47" style="96" customWidth="1"/>
    <col min="2" max="9" width="12" style="96" customWidth="1"/>
    <col min="10" max="11" width="11.85546875" style="96" customWidth="1"/>
    <col min="12" max="12" width="14" style="96" customWidth="1"/>
    <col min="13" max="16" width="13.7109375" style="96" customWidth="1"/>
    <col min="17" max="17" width="13.7109375" style="150" customWidth="1"/>
    <col min="18" max="18" width="13.28515625" style="96" customWidth="1"/>
    <col min="19" max="19" width="13.7109375" style="96" customWidth="1"/>
    <col min="20" max="20" width="11.5703125" style="150" customWidth="1"/>
    <col min="21" max="21" width="15.140625" style="96" customWidth="1"/>
    <col min="22" max="22" width="13.7109375" style="96" customWidth="1"/>
    <col min="23" max="23" width="13.7109375" style="150" customWidth="1"/>
    <col min="24" max="24" width="14.140625" style="96" customWidth="1"/>
    <col min="25" max="25" width="13.5703125" style="96" customWidth="1"/>
    <col min="26" max="26" width="14" style="150" customWidth="1"/>
    <col min="27" max="27" width="15.140625" style="96" customWidth="1"/>
    <col min="28" max="28" width="15.42578125" style="96" customWidth="1"/>
    <col min="29" max="29" width="14.42578125" style="96" customWidth="1"/>
    <col min="30" max="31" width="15.140625" style="96" customWidth="1"/>
    <col min="32" max="32" width="16.28515625" style="96" customWidth="1"/>
    <col min="33" max="33" width="15.140625" style="96" customWidth="1"/>
    <col min="34" max="34" width="16.85546875" style="96" customWidth="1"/>
    <col min="35" max="35" width="14.5703125" style="96" customWidth="1"/>
    <col min="36" max="36" width="17" style="95" customWidth="1"/>
    <col min="37" max="37" width="14.85546875" style="95" customWidth="1"/>
    <col min="38" max="38" width="14.5703125" style="95" customWidth="1"/>
    <col min="39" max="39" width="17.42578125" style="95" customWidth="1"/>
    <col min="40" max="40" width="16.5703125" style="95" customWidth="1"/>
    <col min="41" max="41" width="13.28515625" style="95" customWidth="1"/>
    <col min="42" max="42" width="18.140625" style="95" customWidth="1"/>
    <col min="43" max="43" width="14.28515625" style="95" customWidth="1"/>
    <col min="44" max="44" width="15.140625" style="95" customWidth="1"/>
    <col min="45" max="45" width="18.140625" style="95" customWidth="1"/>
    <col min="46" max="47" width="15.140625" style="95" customWidth="1"/>
    <col min="48" max="49" width="14.85546875" style="95" customWidth="1"/>
    <col min="50" max="50" width="16.7109375" style="95" customWidth="1"/>
    <col min="51" max="71" width="9.140625" style="95" customWidth="1"/>
    <col min="72" max="16384" width="9.140625" style="96"/>
  </cols>
  <sheetData>
    <row r="1" spans="1:71" ht="19.5" customHeight="1" x14ac:dyDescent="0.2">
      <c r="A1" s="149" t="s">
        <v>0</v>
      </c>
    </row>
    <row r="2" spans="1:71" ht="19.5" customHeight="1" x14ac:dyDescent="0.2">
      <c r="A2" s="149" t="s">
        <v>21</v>
      </c>
    </row>
    <row r="3" spans="1:71" ht="39" customHeight="1" x14ac:dyDescent="0.3">
      <c r="A3" s="152"/>
      <c r="B3" s="81" t="s">
        <v>22</v>
      </c>
      <c r="C3" s="82" t="s">
        <v>23</v>
      </c>
      <c r="D3" s="83" t="s">
        <v>24</v>
      </c>
      <c r="E3" s="83"/>
      <c r="F3" s="81" t="s">
        <v>25</v>
      </c>
      <c r="G3" s="84" t="s">
        <v>26</v>
      </c>
      <c r="H3" s="81"/>
      <c r="I3" s="82" t="s">
        <v>27</v>
      </c>
      <c r="J3" s="85" t="s">
        <v>28</v>
      </c>
      <c r="K3" s="85"/>
      <c r="L3" s="81" t="s">
        <v>29</v>
      </c>
      <c r="M3" s="810" t="s">
        <v>30</v>
      </c>
      <c r="N3" s="811"/>
      <c r="O3" s="82" t="s">
        <v>31</v>
      </c>
      <c r="P3" s="812" t="s">
        <v>32</v>
      </c>
      <c r="Q3" s="813"/>
      <c r="R3" s="81" t="s">
        <v>33</v>
      </c>
      <c r="S3" s="810" t="s">
        <v>34</v>
      </c>
      <c r="T3" s="811"/>
      <c r="U3" s="86" t="s">
        <v>35</v>
      </c>
      <c r="V3" s="812" t="s">
        <v>36</v>
      </c>
      <c r="W3" s="813"/>
      <c r="X3" s="87" t="s">
        <v>37</v>
      </c>
      <c r="Y3" s="794" t="s">
        <v>38</v>
      </c>
      <c r="Z3" s="795"/>
      <c r="AA3" s="88" t="s">
        <v>39</v>
      </c>
      <c r="AB3" s="153" t="s">
        <v>67</v>
      </c>
      <c r="AC3" s="154"/>
      <c r="AD3" s="768" t="s">
        <v>68</v>
      </c>
      <c r="AE3" s="155" t="s">
        <v>42</v>
      </c>
      <c r="AF3" s="767"/>
      <c r="AG3" s="770" t="s">
        <v>69</v>
      </c>
      <c r="AH3" s="153" t="s">
        <v>70</v>
      </c>
      <c r="AI3" s="766"/>
      <c r="AJ3" s="156" t="s">
        <v>45</v>
      </c>
      <c r="AK3" s="90" t="s">
        <v>46</v>
      </c>
      <c r="AL3" s="91"/>
      <c r="AM3" s="92" t="s">
        <v>47</v>
      </c>
      <c r="AN3" s="153" t="s">
        <v>71</v>
      </c>
      <c r="AO3" s="766"/>
      <c r="AP3" s="796" t="s">
        <v>72</v>
      </c>
      <c r="AQ3" s="789" t="s">
        <v>50</v>
      </c>
      <c r="AR3" s="790"/>
      <c r="AS3" s="808" t="s">
        <v>51</v>
      </c>
      <c r="AT3" s="791" t="s">
        <v>52</v>
      </c>
      <c r="AU3" s="792"/>
      <c r="AV3" s="814" t="s">
        <v>53</v>
      </c>
      <c r="AW3" s="816" t="s">
        <v>54</v>
      </c>
      <c r="AX3" s="807"/>
    </row>
    <row r="4" spans="1:71" ht="36" customHeight="1" x14ac:dyDescent="0.3">
      <c r="A4" s="157" t="s">
        <v>55</v>
      </c>
      <c r="B4" s="97" t="s">
        <v>56</v>
      </c>
      <c r="C4" s="98" t="s">
        <v>56</v>
      </c>
      <c r="D4" s="99" t="s">
        <v>57</v>
      </c>
      <c r="E4" s="99" t="s">
        <v>58</v>
      </c>
      <c r="F4" s="97" t="s">
        <v>56</v>
      </c>
      <c r="G4" s="100" t="s">
        <v>57</v>
      </c>
      <c r="H4" s="100" t="s">
        <v>58</v>
      </c>
      <c r="I4" s="98" t="s">
        <v>56</v>
      </c>
      <c r="J4" s="99" t="s">
        <v>57</v>
      </c>
      <c r="K4" s="99" t="s">
        <v>58</v>
      </c>
      <c r="L4" s="97" t="s">
        <v>56</v>
      </c>
      <c r="M4" s="158" t="s">
        <v>57</v>
      </c>
      <c r="N4" s="101" t="s">
        <v>58</v>
      </c>
      <c r="O4" s="98" t="s">
        <v>56</v>
      </c>
      <c r="P4" s="159" t="s">
        <v>57</v>
      </c>
      <c r="Q4" s="160" t="s">
        <v>58</v>
      </c>
      <c r="R4" s="97" t="s">
        <v>56</v>
      </c>
      <c r="S4" s="158" t="s">
        <v>57</v>
      </c>
      <c r="T4" s="161" t="s">
        <v>58</v>
      </c>
      <c r="U4" s="106" t="s">
        <v>56</v>
      </c>
      <c r="V4" s="159" t="s">
        <v>57</v>
      </c>
      <c r="W4" s="160" t="s">
        <v>58</v>
      </c>
      <c r="X4" s="107" t="s">
        <v>56</v>
      </c>
      <c r="Y4" s="162" t="s">
        <v>57</v>
      </c>
      <c r="Z4" s="110" t="s">
        <v>58</v>
      </c>
      <c r="AA4" s="108" t="s">
        <v>56</v>
      </c>
      <c r="AB4" s="109" t="s">
        <v>57</v>
      </c>
      <c r="AC4" s="103" t="s">
        <v>58</v>
      </c>
      <c r="AD4" s="769" t="s">
        <v>56</v>
      </c>
      <c r="AE4" s="100" t="s">
        <v>57</v>
      </c>
      <c r="AF4" s="110" t="s">
        <v>58</v>
      </c>
      <c r="AG4" s="163" t="s">
        <v>56</v>
      </c>
      <c r="AH4" s="111" t="s">
        <v>57</v>
      </c>
      <c r="AI4" s="103" t="s">
        <v>58</v>
      </c>
      <c r="AJ4" s="104" t="s">
        <v>56</v>
      </c>
      <c r="AK4" s="100" t="s">
        <v>57</v>
      </c>
      <c r="AL4" s="100" t="s">
        <v>58</v>
      </c>
      <c r="AM4" s="163" t="s">
        <v>56</v>
      </c>
      <c r="AN4" s="99" t="s">
        <v>57</v>
      </c>
      <c r="AO4" s="103" t="s">
        <v>58</v>
      </c>
      <c r="AP4" s="797"/>
      <c r="AQ4" s="164" t="s">
        <v>57</v>
      </c>
      <c r="AR4" s="165" t="s">
        <v>58</v>
      </c>
      <c r="AS4" s="809"/>
      <c r="AT4" s="166" t="s">
        <v>57</v>
      </c>
      <c r="AU4" s="166" t="s">
        <v>58</v>
      </c>
      <c r="AV4" s="815"/>
      <c r="AW4" s="756" t="s">
        <v>57</v>
      </c>
      <c r="AX4" s="756" t="s">
        <v>58</v>
      </c>
    </row>
    <row r="5" spans="1:71" s="95" customFormat="1" ht="19.5" customHeight="1" x14ac:dyDescent="0.3">
      <c r="A5" s="77" t="s">
        <v>59</v>
      </c>
      <c r="B5" s="121">
        <f>'FY2016 by Approp Title'!B11*Inflator!$E$2</f>
        <v>294086.9736842105</v>
      </c>
      <c r="C5" s="121">
        <f>'FY2016 by Approp Title'!C11*Inflator!$E$3</f>
        <v>306398.39605873264</v>
      </c>
      <c r="D5" s="113">
        <f>C5-B5</f>
        <v>12311.422374522139</v>
      </c>
      <c r="E5" s="114">
        <f>D5/B5</f>
        <v>4.1863201964674905E-2</v>
      </c>
      <c r="F5" s="121">
        <f>'FY2016 by Approp Title'!F11*Inflator!$E$4</f>
        <v>321620.21088694327</v>
      </c>
      <c r="G5" s="113">
        <f>F5-C5</f>
        <v>15221.814828210627</v>
      </c>
      <c r="H5" s="114">
        <f>G5/C5</f>
        <v>4.9679812375038671E-2</v>
      </c>
      <c r="I5" s="121">
        <f>'FY2016 by Approp Title'!I11*Inflator!$E$5</f>
        <v>277177.75827445148</v>
      </c>
      <c r="J5" s="113">
        <f>I5-F5</f>
        <v>-44442.45261249179</v>
      </c>
      <c r="K5" s="114">
        <f>J5/F5</f>
        <v>-0.13818302180056188</v>
      </c>
      <c r="L5" s="121">
        <f>'FY2016 by Approp Title'!L11*Inflator!$E$6</f>
        <v>303018.71755725192</v>
      </c>
      <c r="M5" s="113">
        <f>L5-I5</f>
        <v>25840.959282800439</v>
      </c>
      <c r="N5" s="191">
        <f>M5/I5</f>
        <v>9.3228834245833128E-2</v>
      </c>
      <c r="O5" s="122">
        <f>'FY2016 by Approp Title'!O11*Inflator!$E$7</f>
        <v>358159.25237592391</v>
      </c>
      <c r="P5" s="113">
        <f>O5-L5</f>
        <v>55140.534818671993</v>
      </c>
      <c r="Q5" s="114">
        <f>P5/L5</f>
        <v>0.18197072201737446</v>
      </c>
      <c r="R5" s="122">
        <f>'FY2016 by Approp Title'!R11*Inflator!$E$8</f>
        <v>408006.11710794299</v>
      </c>
      <c r="S5" s="113">
        <f>R5-O5</f>
        <v>49846.864732019079</v>
      </c>
      <c r="T5" s="114">
        <f>S5/O5</f>
        <v>0.13917514178776488</v>
      </c>
      <c r="U5" s="122">
        <f>'FY2016 by Approp Title'!U11*Inflator!$E$9</f>
        <v>437542.29907161801</v>
      </c>
      <c r="V5" s="115">
        <f>U5-R5</f>
        <v>29536.181963675015</v>
      </c>
      <c r="W5" s="116">
        <f>V5/R5</f>
        <v>7.2391517492520485E-2</v>
      </c>
      <c r="X5" s="122">
        <f>'FY2016 by Approp Title'!X11*Inflator!$E$10</f>
        <v>437152.93966338522</v>
      </c>
      <c r="Y5" s="117">
        <f>X5-U5</f>
        <v>-389.35940823279088</v>
      </c>
      <c r="Z5" s="116">
        <f>Y5/U5</f>
        <v>-8.8987832504180259E-4</v>
      </c>
      <c r="AA5" s="122">
        <f>'FY2016 by Approp Title'!AA11*Inflator!$E$11</f>
        <v>465837.2532653712</v>
      </c>
      <c r="AB5" s="117">
        <f t="shared" ref="AB5:AB12" si="0">AA5-X5</f>
        <v>28684.313601985981</v>
      </c>
      <c r="AC5" s="114">
        <f t="shared" ref="AC5:AC12" si="1">AB5/X5</f>
        <v>6.5616197443561425E-2</v>
      </c>
      <c r="AD5" s="122">
        <f>'FY2016 by Approp Title'!AD11*Inflator!$E$12</f>
        <v>394011.52819548879</v>
      </c>
      <c r="AE5" s="117">
        <f t="shared" ref="AE5:AE12" si="2">AD5-AA5</f>
        <v>-71825.725069882406</v>
      </c>
      <c r="AF5" s="114">
        <f t="shared" ref="AF5:AF12" si="3">AE5/AA5</f>
        <v>-0.15418630555286614</v>
      </c>
      <c r="AG5" s="122">
        <f>'FY2016 by Approp Title'!AG11*Inflator!$E$13</f>
        <v>524276.65020696667</v>
      </c>
      <c r="AH5" s="115">
        <f>AG5-AD5</f>
        <v>130265.12201147788</v>
      </c>
      <c r="AI5" s="114">
        <f>AH5/AD5</f>
        <v>0.33061246356945895</v>
      </c>
      <c r="AJ5" s="122">
        <f>'FY2016 by Approp Title'!AJ11*Inflator!$E$14</f>
        <v>497169.98241954704</v>
      </c>
      <c r="AK5" s="182">
        <f>AJ5-AG5</f>
        <v>-27106.667787419632</v>
      </c>
      <c r="AL5" s="193">
        <f>AK5/AG5</f>
        <v>-5.1702985011289053E-2</v>
      </c>
      <c r="AM5" s="183">
        <f>'FY2016 by Approp Title'!AM11*Inflator!$E$15</f>
        <v>546668.37027264724</v>
      </c>
      <c r="AN5" s="122">
        <f t="shared" ref="AN5:AN12" si="4">AM5-AJ5</f>
        <v>49498.387853100197</v>
      </c>
      <c r="AO5" s="114">
        <f t="shared" ref="AO5:AO12" si="5">AN5/AJ5</f>
        <v>9.9560290450781824E-2</v>
      </c>
      <c r="AP5" s="184">
        <f>'FY2016 by Approp Title'!AP11*Inflator!$E$16</f>
        <v>624806.81114640483</v>
      </c>
      <c r="AQ5" s="197">
        <f t="shared" ref="AQ5:AQ12" si="6">AP5-AM5</f>
        <v>78138.440873757587</v>
      </c>
      <c r="AR5" s="195">
        <f t="shared" ref="AR5:AR12" si="7">AQ5/AM5</f>
        <v>0.14293572689194833</v>
      </c>
      <c r="AS5" s="189">
        <f>'FY2016 by Approp Title'!AS11*Inflator!$E$17</f>
        <v>691290.01870218199</v>
      </c>
      <c r="AT5" s="189">
        <f>AS5-AP5</f>
        <v>66483.20755577716</v>
      </c>
      <c r="AU5" s="195">
        <f>AT5/AP5</f>
        <v>0.10640602242122295</v>
      </c>
      <c r="AV5" s="309">
        <f>'FY2016 by Approp Title'!AV11*Inflator!$E$18</f>
        <v>716366</v>
      </c>
      <c r="AW5" s="309">
        <f>AV5-AS5</f>
        <v>25075.981297818013</v>
      </c>
      <c r="AX5" s="148">
        <f>AW5/AS5</f>
        <v>3.6274183945104982E-2</v>
      </c>
    </row>
    <row r="6" spans="1:71" s="167" customFormat="1" ht="19.5" customHeight="1" x14ac:dyDescent="0.3">
      <c r="A6" s="78" t="s">
        <v>60</v>
      </c>
      <c r="B6" s="185">
        <f>'FY2016 by Approp Title'!B12*Inflator!$E$2</f>
        <v>130005.37679425837</v>
      </c>
      <c r="C6" s="185">
        <f>'FY2016 by Approp Title'!C12*Inflator!$E$3</f>
        <v>149176.4513137558</v>
      </c>
      <c r="D6" s="123">
        <f t="shared" ref="D6:D12" si="8">C6-B6</f>
        <v>19171.07451949743</v>
      </c>
      <c r="E6" s="124">
        <f t="shared" ref="E6:E12" si="9">D6/B6</f>
        <v>0.14746370490381219</v>
      </c>
      <c r="F6" s="185">
        <f>'FY2016 by Approp Title'!F12*Inflator!$E$4</f>
        <v>156661.23791397031</v>
      </c>
      <c r="G6" s="123">
        <f t="shared" ref="G6:G12" si="10">F6-C6</f>
        <v>7484.7866002145165</v>
      </c>
      <c r="H6" s="124">
        <f t="shared" ref="H6:H12" si="11">G6/C6</f>
        <v>5.0174049149836107E-2</v>
      </c>
      <c r="I6" s="185">
        <f>'FY2016 by Approp Title'!I12*Inflator!$E$5</f>
        <v>180811.91223503163</v>
      </c>
      <c r="J6" s="123">
        <f t="shared" ref="J6:J12" si="12">I6-F6</f>
        <v>24150.67432106132</v>
      </c>
      <c r="K6" s="124">
        <f t="shared" ref="K6:K12" si="13">J6/F6</f>
        <v>0.15415858219072376</v>
      </c>
      <c r="L6" s="185">
        <f>'FY2016 by Approp Title'!L12*Inflator!$E$6</f>
        <v>198165</v>
      </c>
      <c r="M6" s="123">
        <f t="shared" ref="M6:M12" si="14">L6-I6</f>
        <v>17353.087764968368</v>
      </c>
      <c r="N6" s="192">
        <f t="shared" ref="N6:N12" si="15">M6/I6</f>
        <v>9.5973144415461092E-2</v>
      </c>
      <c r="O6" s="132">
        <f>'FY2016 by Approp Title'!O12*Inflator!$E$7</f>
        <v>250587.95248152057</v>
      </c>
      <c r="P6" s="123">
        <f t="shared" ref="P6:P12" si="16">O6-L6</f>
        <v>52422.952481520566</v>
      </c>
      <c r="Q6" s="124">
        <f t="shared" ref="Q6:Q12" si="17">P6/L6</f>
        <v>0.26454193465809084</v>
      </c>
      <c r="R6" s="132">
        <f>'FY2016 by Approp Title'!R12*Inflator!$E$8</f>
        <v>307909.73828920571</v>
      </c>
      <c r="S6" s="123">
        <f t="shared" ref="S6:S12" si="18">R6-O6</f>
        <v>57321.785807685141</v>
      </c>
      <c r="T6" s="124">
        <f t="shared" ref="T6:T12" si="19">S6/O6</f>
        <v>0.22874916866529046</v>
      </c>
      <c r="U6" s="132">
        <f>'FY2016 by Approp Title'!U12*Inflator!$E$9</f>
        <v>445966.82029177714</v>
      </c>
      <c r="V6" s="126">
        <f t="shared" ref="V6:V12" si="20">U6-R6</f>
        <v>138057.08200257143</v>
      </c>
      <c r="W6" s="127">
        <f t="shared" ref="W6:W11" si="21">V6/R6</f>
        <v>0.44836867703385419</v>
      </c>
      <c r="X6" s="132">
        <f>'FY2016 by Approp Title'!X12*Inflator!$E$10</f>
        <v>461399.10447761195</v>
      </c>
      <c r="Y6" s="128">
        <f t="shared" ref="Y6:Y12" si="22">X6-U6</f>
        <v>15432.284185834811</v>
      </c>
      <c r="Z6" s="127">
        <f t="shared" ref="Z6:Z12" si="23">Y6/U6</f>
        <v>3.4604108385772117E-2</v>
      </c>
      <c r="AA6" s="132">
        <f>'FY2016 by Approp Title'!AA12*Inflator!$E$11</f>
        <v>448820.85473080608</v>
      </c>
      <c r="AB6" s="128">
        <f t="shared" si="0"/>
        <v>-12578.249746805872</v>
      </c>
      <c r="AC6" s="124">
        <f t="shared" si="1"/>
        <v>-2.7261105677798721E-2</v>
      </c>
      <c r="AD6" s="132">
        <f>'FY2016 by Approp Title'!AD12*Inflator!$E$12</f>
        <v>300097.61748120305</v>
      </c>
      <c r="AE6" s="128">
        <f t="shared" si="2"/>
        <v>-148723.23724960303</v>
      </c>
      <c r="AF6" s="124">
        <f t="shared" si="3"/>
        <v>-0.3313643643827654</v>
      </c>
      <c r="AG6" s="132">
        <f>'FY2016 by Approp Title'!AG12*Inflator!$E$13</f>
        <v>304602.10349755571</v>
      </c>
      <c r="AH6" s="126">
        <f t="shared" ref="AH6:AH12" si="24">AG6-AD6</f>
        <v>4504.486016352661</v>
      </c>
      <c r="AI6" s="124">
        <f t="shared" ref="AI6:AI12" si="25">AH6/AD6</f>
        <v>1.5010069237336762E-2</v>
      </c>
      <c r="AJ6" s="132">
        <f>'FY2016 by Approp Title'!AJ12*Inflator!$E$14</f>
        <v>256667.58522050056</v>
      </c>
      <c r="AK6" s="186">
        <f t="shared" ref="AK6:AK12" si="26">AJ6-AG6</f>
        <v>-47934.518277055147</v>
      </c>
      <c r="AL6" s="194">
        <f t="shared" ref="AL6:AL12" si="27">AK6/AG6</f>
        <v>-0.15736765349501206</v>
      </c>
      <c r="AM6" s="187">
        <f>'FY2016 by Approp Title'!AM12*Inflator!$E$15</f>
        <v>373388.47053649952</v>
      </c>
      <c r="AN6" s="132">
        <f t="shared" si="4"/>
        <v>116720.88531599895</v>
      </c>
      <c r="AO6" s="124">
        <f t="shared" si="5"/>
        <v>0.45475506856748271</v>
      </c>
      <c r="AP6" s="188">
        <f>'FY2016 by Approp Title'!AP12*Inflator!$E$16</f>
        <v>442730.98007507937</v>
      </c>
      <c r="AQ6" s="198">
        <f t="shared" si="6"/>
        <v>69342.509538579849</v>
      </c>
      <c r="AR6" s="196">
        <f t="shared" si="7"/>
        <v>0.18571143731070686</v>
      </c>
      <c r="AS6" s="190">
        <f>'FY2016 by Approp Title'!AS12*Inflator!$E$17</f>
        <v>381480.00425049593</v>
      </c>
      <c r="AT6" s="190">
        <f t="shared" ref="AT6:AT12" si="28">AS6-AP6</f>
        <v>-61250.975824583438</v>
      </c>
      <c r="AU6" s="763">
        <f t="shared" ref="AU6:AU12" si="29">AT6/AP6</f>
        <v>-0.13834806819752338</v>
      </c>
      <c r="AV6" s="743">
        <f>'FY2016 by Approp Title'!AV12*Inflator!$E$18</f>
        <v>423346</v>
      </c>
      <c r="AW6" s="743">
        <f t="shared" ref="AW6:AW12" si="30">AV6-AS6</f>
        <v>41865.995749504073</v>
      </c>
      <c r="AX6" s="764">
        <f t="shared" ref="AX6:AX12" si="31">AW6/AS6</f>
        <v>0.10974623907682744</v>
      </c>
      <c r="AY6" s="95"/>
      <c r="AZ6" s="95"/>
      <c r="BA6" s="95"/>
      <c r="BB6" s="95"/>
      <c r="BC6" s="95"/>
      <c r="BD6" s="95"/>
      <c r="BE6" s="95"/>
      <c r="BF6" s="95"/>
      <c r="BG6" s="95"/>
      <c r="BH6" s="95"/>
      <c r="BI6" s="95"/>
      <c r="BJ6" s="95"/>
      <c r="BK6" s="95"/>
      <c r="BL6" s="95"/>
      <c r="BM6" s="95"/>
      <c r="BN6" s="95"/>
      <c r="BO6" s="95"/>
      <c r="BP6" s="95"/>
      <c r="BQ6" s="95"/>
      <c r="BR6" s="95"/>
      <c r="BS6" s="95"/>
    </row>
    <row r="7" spans="1:71" s="95" customFormat="1" ht="19.5" customHeight="1" x14ac:dyDescent="0.3">
      <c r="A7" s="77" t="s">
        <v>61</v>
      </c>
      <c r="B7" s="121">
        <f>'FY2016 by Approp Title'!B13*Inflator!$E$2</f>
        <v>1015314.769138756</v>
      </c>
      <c r="C7" s="121">
        <f>'FY2016 by Approp Title'!C13*Inflator!$E$3</f>
        <v>998745.19590417319</v>
      </c>
      <c r="D7" s="113">
        <f t="shared" si="8"/>
        <v>-16569.573234582786</v>
      </c>
      <c r="E7" s="114">
        <f t="shared" si="9"/>
        <v>-1.6319641689678147E-2</v>
      </c>
      <c r="F7" s="121">
        <f>'FY2016 by Approp Title'!F13*Inflator!$E$4</f>
        <v>872510.2702702703</v>
      </c>
      <c r="G7" s="113">
        <f t="shared" si="10"/>
        <v>-126234.92563390289</v>
      </c>
      <c r="H7" s="114">
        <f t="shared" si="11"/>
        <v>-0.12639352474644072</v>
      </c>
      <c r="I7" s="121">
        <f>'FY2016 by Approp Title'!I13*Inflator!$E$5</f>
        <v>883638.09483079216</v>
      </c>
      <c r="J7" s="113">
        <f t="shared" si="12"/>
        <v>11127.824560521869</v>
      </c>
      <c r="K7" s="114">
        <f t="shared" si="13"/>
        <v>1.2753803524942915E-2</v>
      </c>
      <c r="L7" s="121">
        <f>'FY2016 by Approp Title'!L13*Inflator!$E$6</f>
        <v>977124.17011995637</v>
      </c>
      <c r="M7" s="113">
        <f t="shared" si="14"/>
        <v>93486.075289164204</v>
      </c>
      <c r="N7" s="191">
        <f t="shared" si="15"/>
        <v>0.10579679151006482</v>
      </c>
      <c r="O7" s="122">
        <f>'FY2016 by Approp Title'!O13*Inflator!$E$7</f>
        <v>1021505.667370644</v>
      </c>
      <c r="P7" s="113">
        <f t="shared" si="16"/>
        <v>44381.49725068768</v>
      </c>
      <c r="Q7" s="114">
        <f t="shared" si="17"/>
        <v>4.5420529557916062E-2</v>
      </c>
      <c r="R7" s="122">
        <f>'FY2016 by Approp Title'!R13*Inflator!$E$8</f>
        <v>1094289.5600814663</v>
      </c>
      <c r="S7" s="113">
        <f t="shared" si="18"/>
        <v>72783.892710822285</v>
      </c>
      <c r="T7" s="114">
        <f t="shared" si="19"/>
        <v>7.1251579933147166E-2</v>
      </c>
      <c r="U7" s="122">
        <f>'FY2016 by Approp Title'!U13*Inflator!$E$9</f>
        <v>1148551.8202917771</v>
      </c>
      <c r="V7" s="115">
        <f t="shared" si="20"/>
        <v>54262.260210310807</v>
      </c>
      <c r="W7" s="116">
        <f t="shared" si="21"/>
        <v>4.9586747593818911E-2</v>
      </c>
      <c r="X7" s="122">
        <f>'FY2016 by Approp Title'!X13*Inflator!$E$10</f>
        <v>1195043.8180374722</v>
      </c>
      <c r="Y7" s="117">
        <f t="shared" si="22"/>
        <v>46491.997745695058</v>
      </c>
      <c r="Z7" s="116">
        <f t="shared" si="23"/>
        <v>4.0478798539437491E-2</v>
      </c>
      <c r="AA7" s="122">
        <f>'FY2016 by Approp Title'!AA13*Inflator!$E$11</f>
        <v>1162999.9620898378</v>
      </c>
      <c r="AB7" s="117">
        <f t="shared" si="0"/>
        <v>-32043.855947634438</v>
      </c>
      <c r="AC7" s="114">
        <f t="shared" si="1"/>
        <v>-2.6813959006338008E-2</v>
      </c>
      <c r="AD7" s="122">
        <f>'FY2016 by Approp Title'!AD13*Inflator!$E$12</f>
        <v>1135664.0197368423</v>
      </c>
      <c r="AE7" s="117">
        <f t="shared" si="2"/>
        <v>-27335.942352995509</v>
      </c>
      <c r="AF7" s="114">
        <f t="shared" si="3"/>
        <v>-2.350468034743057E-2</v>
      </c>
      <c r="AG7" s="122">
        <f>'FY2016 by Approp Title'!AG13*Inflator!$E$13</f>
        <v>1133697.0728912393</v>
      </c>
      <c r="AH7" s="115">
        <f t="shared" si="24"/>
        <v>-1966.9468456029426</v>
      </c>
      <c r="AI7" s="114">
        <f t="shared" si="25"/>
        <v>-1.7319795392115411E-3</v>
      </c>
      <c r="AJ7" s="122">
        <f>'FY2016 by Approp Title'!AJ13*Inflator!$E$14</f>
        <v>1018809.4451728247</v>
      </c>
      <c r="AK7" s="182">
        <f t="shared" si="26"/>
        <v>-114887.62771841465</v>
      </c>
      <c r="AL7" s="193">
        <f t="shared" si="27"/>
        <v>-0.10133891183596302</v>
      </c>
      <c r="AM7" s="183">
        <f>'FY2016 by Approp Title'!AM13*Inflator!$E$15</f>
        <v>1026230.7335092347</v>
      </c>
      <c r="AN7" s="122">
        <f t="shared" si="4"/>
        <v>7421.2883364100708</v>
      </c>
      <c r="AO7" s="114">
        <f t="shared" si="5"/>
        <v>7.284275162124325E-3</v>
      </c>
      <c r="AP7" s="184">
        <f>'FY2016 by Approp Title'!AP13*Inflator!$E$16</f>
        <v>1078188.6462604678</v>
      </c>
      <c r="AQ7" s="197">
        <f t="shared" si="6"/>
        <v>51957.912751233089</v>
      </c>
      <c r="AR7" s="195">
        <f t="shared" si="7"/>
        <v>5.0629854529459513E-2</v>
      </c>
      <c r="AS7" s="189">
        <f>'FY2016 by Approp Title'!AS13*Inflator!$E$17</f>
        <v>1082293.6228393314</v>
      </c>
      <c r="AT7" s="189">
        <f t="shared" si="28"/>
        <v>4104.9765788635705</v>
      </c>
      <c r="AU7" s="195">
        <f t="shared" si="29"/>
        <v>3.8072897475790093E-3</v>
      </c>
      <c r="AV7" s="309">
        <f>'FY2016 by Approp Title'!AV13*Inflator!$E$18</f>
        <v>1145178</v>
      </c>
      <c r="AW7" s="309">
        <f t="shared" si="30"/>
        <v>62884.377160668606</v>
      </c>
      <c r="AX7" s="148">
        <f t="shared" si="31"/>
        <v>5.8102880617272118E-2</v>
      </c>
    </row>
    <row r="8" spans="1:71" s="167" customFormat="1" ht="19.5" customHeight="1" x14ac:dyDescent="0.3">
      <c r="A8" s="78" t="s">
        <v>62</v>
      </c>
      <c r="B8" s="185">
        <f>'FY2016 by Approp Title'!B14*Inflator!$E$2</f>
        <v>1091302.4413875598</v>
      </c>
      <c r="C8" s="185">
        <f>'FY2016 by Approp Title'!C14*Inflator!$E$3</f>
        <v>1364357.8110510048</v>
      </c>
      <c r="D8" s="123">
        <f t="shared" si="8"/>
        <v>273055.36966344505</v>
      </c>
      <c r="E8" s="124">
        <f t="shared" si="9"/>
        <v>0.25021053679332284</v>
      </c>
      <c r="F8" s="185">
        <f>'FY2016 by Approp Title'!F14*Inflator!$E$4</f>
        <v>1310061.497906357</v>
      </c>
      <c r="G8" s="123">
        <f t="shared" si="10"/>
        <v>-54296.313144647749</v>
      </c>
      <c r="H8" s="124">
        <f t="shared" si="11"/>
        <v>-3.9796241649264798E-2</v>
      </c>
      <c r="I8" s="185">
        <f>'FY2016 by Approp Title'!I14*Inflator!$E$5</f>
        <v>1257649.3253997769</v>
      </c>
      <c r="J8" s="123">
        <f t="shared" si="12"/>
        <v>-52412.172506580129</v>
      </c>
      <c r="K8" s="124">
        <f t="shared" si="13"/>
        <v>-4.0007413843045819E-2</v>
      </c>
      <c r="L8" s="185">
        <f>'FY2016 by Approp Title'!L14*Inflator!$E$6</f>
        <v>1375227.5114503817</v>
      </c>
      <c r="M8" s="123">
        <f t="shared" si="14"/>
        <v>117578.1860506048</v>
      </c>
      <c r="N8" s="192">
        <f t="shared" si="15"/>
        <v>9.3490437815986163E-2</v>
      </c>
      <c r="O8" s="132">
        <f>'FY2016 by Approp Title'!O14*Inflator!$E$7</f>
        <v>1453317.7983104538</v>
      </c>
      <c r="P8" s="123">
        <f t="shared" si="16"/>
        <v>78090.286860072054</v>
      </c>
      <c r="Q8" s="124">
        <f t="shared" si="17"/>
        <v>5.6783540330511743E-2</v>
      </c>
      <c r="R8" s="132">
        <f>'FY2016 by Approp Title'!R14*Inflator!$E$8</f>
        <v>1498888.3594704685</v>
      </c>
      <c r="S8" s="123">
        <f t="shared" si="18"/>
        <v>45570.561160014709</v>
      </c>
      <c r="T8" s="124">
        <f t="shared" si="19"/>
        <v>3.1356225880528332E-2</v>
      </c>
      <c r="U8" s="132">
        <f>'FY2016 by Approp Title'!U14*Inflator!$E$9</f>
        <v>1535799.0586870024</v>
      </c>
      <c r="V8" s="126">
        <f t="shared" si="20"/>
        <v>36910.699216533918</v>
      </c>
      <c r="W8" s="127">
        <f t="shared" si="21"/>
        <v>2.4625382526537089E-2</v>
      </c>
      <c r="X8" s="132">
        <f>'FY2016 by Approp Title'!X14*Inflator!$E$10</f>
        <v>1656147.7259447444</v>
      </c>
      <c r="Y8" s="128">
        <f t="shared" si="22"/>
        <v>120348.66725774202</v>
      </c>
      <c r="Z8" s="127">
        <f t="shared" si="23"/>
        <v>7.8362248353395572E-2</v>
      </c>
      <c r="AA8" s="132">
        <f>'FY2016 by Approp Title'!AA14*Inflator!$E$11</f>
        <v>1642639.7241159608</v>
      </c>
      <c r="AB8" s="128">
        <f t="shared" si="0"/>
        <v>-13508.001828783657</v>
      </c>
      <c r="AC8" s="124">
        <f t="shared" si="1"/>
        <v>-8.1562783423067275E-3</v>
      </c>
      <c r="AD8" s="132">
        <f>'FY2016 by Approp Title'!AD14*Inflator!$E$12</f>
        <v>1588146.4135338347</v>
      </c>
      <c r="AE8" s="128">
        <f t="shared" si="2"/>
        <v>-54493.310582126025</v>
      </c>
      <c r="AF8" s="124">
        <f t="shared" si="3"/>
        <v>-3.3174231562829976E-2</v>
      </c>
      <c r="AG8" s="132">
        <f>'FY2016 by Approp Title'!AG14*Inflator!$E$13</f>
        <v>1651554.0673151757</v>
      </c>
      <c r="AH8" s="126">
        <f t="shared" si="24"/>
        <v>63407.653781340923</v>
      </c>
      <c r="AI8" s="124">
        <f t="shared" si="25"/>
        <v>3.9925571874856645E-2</v>
      </c>
      <c r="AJ8" s="132">
        <f>'FY2016 by Approp Title'!AJ14*Inflator!$E$14</f>
        <v>1728978.3522050057</v>
      </c>
      <c r="AK8" s="186">
        <f t="shared" si="26"/>
        <v>77424.284889830044</v>
      </c>
      <c r="AL8" s="194">
        <f t="shared" si="27"/>
        <v>4.687965500015006E-2</v>
      </c>
      <c r="AM8" s="187">
        <f>'FY2016 by Approp Title'!AM14*Inflator!$E$15</f>
        <v>1803407.6569920843</v>
      </c>
      <c r="AN8" s="132">
        <f t="shared" si="4"/>
        <v>74429.304787078639</v>
      </c>
      <c r="AO8" s="124">
        <f t="shared" si="5"/>
        <v>4.304814151788381E-2</v>
      </c>
      <c r="AP8" s="188">
        <f>'FY2016 by Approp Title'!AP14*Inflator!$E$16</f>
        <v>1837627.80017326</v>
      </c>
      <c r="AQ8" s="198">
        <f t="shared" si="6"/>
        <v>34220.143181175692</v>
      </c>
      <c r="AR8" s="196">
        <f t="shared" si="7"/>
        <v>1.8975267765166139E-2</v>
      </c>
      <c r="AS8" s="190">
        <f>'FY2016 by Approp Title'!AS14*Inflator!$E$17</f>
        <v>1950630.9164069144</v>
      </c>
      <c r="AT8" s="190">
        <f t="shared" si="28"/>
        <v>113003.11623365432</v>
      </c>
      <c r="AU8" s="763">
        <f t="shared" si="29"/>
        <v>6.1494017571458087E-2</v>
      </c>
      <c r="AV8" s="743">
        <f>'FY2016 by Approp Title'!AV14*Inflator!$E$18</f>
        <v>1947076</v>
      </c>
      <c r="AW8" s="743">
        <f t="shared" si="30"/>
        <v>-3554.916406914359</v>
      </c>
      <c r="AX8" s="764">
        <f t="shared" si="31"/>
        <v>-1.8224444086339807E-3</v>
      </c>
      <c r="AY8" s="95"/>
      <c r="AZ8" s="95"/>
      <c r="BA8" s="95"/>
      <c r="BB8" s="95"/>
      <c r="BC8" s="95"/>
      <c r="BD8" s="95"/>
      <c r="BE8" s="95"/>
      <c r="BF8" s="95"/>
      <c r="BG8" s="95"/>
      <c r="BH8" s="95"/>
      <c r="BI8" s="95"/>
      <c r="BJ8" s="95"/>
      <c r="BK8" s="95"/>
      <c r="BL8" s="95"/>
      <c r="BM8" s="95"/>
      <c r="BN8" s="95"/>
      <c r="BO8" s="95"/>
      <c r="BP8" s="95"/>
      <c r="BQ8" s="95"/>
      <c r="BR8" s="95"/>
      <c r="BS8" s="95"/>
    </row>
    <row r="9" spans="1:71" s="95" customFormat="1" ht="19.5" customHeight="1" x14ac:dyDescent="0.3">
      <c r="A9" s="77" t="s">
        <v>63</v>
      </c>
      <c r="B9" s="121">
        <f>'FY2016 by Approp Title'!B15*Inflator!$E$2</f>
        <v>1136338.5047846891</v>
      </c>
      <c r="C9" s="121">
        <f>'FY2016 by Approp Title'!C15*Inflator!$E$3</f>
        <v>1299821.2314528595</v>
      </c>
      <c r="D9" s="113">
        <f t="shared" si="8"/>
        <v>163482.72666817042</v>
      </c>
      <c r="E9" s="114">
        <f t="shared" si="9"/>
        <v>0.14386798122197467</v>
      </c>
      <c r="F9" s="121">
        <f>'FY2016 by Approp Title'!F15*Inflator!$E$4</f>
        <v>1431769.3840883137</v>
      </c>
      <c r="G9" s="113">
        <f t="shared" si="10"/>
        <v>131948.1526354542</v>
      </c>
      <c r="H9" s="114">
        <f t="shared" si="11"/>
        <v>0.10151253837265818</v>
      </c>
      <c r="I9" s="121">
        <f>'FY2016 by Approp Title'!I15*Inflator!$E$5</f>
        <v>1426651.3298624025</v>
      </c>
      <c r="J9" s="113">
        <f t="shared" si="12"/>
        <v>-5118.0542259111535</v>
      </c>
      <c r="K9" s="114">
        <f t="shared" si="13"/>
        <v>-3.5746358895431336E-3</v>
      </c>
      <c r="L9" s="121">
        <f>'FY2016 by Approp Title'!L15*Inflator!$E$6</f>
        <v>1430025.5921483098</v>
      </c>
      <c r="M9" s="113">
        <f t="shared" si="14"/>
        <v>3374.2622859072872</v>
      </c>
      <c r="N9" s="191">
        <f t="shared" si="15"/>
        <v>2.3651625420155935E-3</v>
      </c>
      <c r="O9" s="122">
        <f>'FY2016 by Approp Title'!O15*Inflator!$E$7</f>
        <v>1501036.9398099259</v>
      </c>
      <c r="P9" s="113">
        <f t="shared" si="16"/>
        <v>71011.347661616048</v>
      </c>
      <c r="Q9" s="114">
        <f t="shared" si="17"/>
        <v>4.9657396379135126E-2</v>
      </c>
      <c r="R9" s="122">
        <f>'FY2016 by Approp Title'!R15*Inflator!$E$8</f>
        <v>1545337.217922607</v>
      </c>
      <c r="S9" s="113">
        <f t="shared" si="18"/>
        <v>44300.278112681117</v>
      </c>
      <c r="T9" s="114">
        <f t="shared" si="19"/>
        <v>2.9513116524827694E-2</v>
      </c>
      <c r="U9" s="122">
        <f>'FY2016 by Approp Title'!U15*Inflator!$E$9</f>
        <v>1753462.7874668434</v>
      </c>
      <c r="V9" s="115">
        <f t="shared" si="20"/>
        <v>208125.56954423641</v>
      </c>
      <c r="W9" s="116">
        <f t="shared" si="21"/>
        <v>0.13467971076501936</v>
      </c>
      <c r="X9" s="122">
        <f>'FY2016 by Approp Title'!X15*Inflator!$E$10</f>
        <v>1838660.4426802162</v>
      </c>
      <c r="Y9" s="117">
        <f t="shared" si="22"/>
        <v>85197.655213372782</v>
      </c>
      <c r="Z9" s="116">
        <f t="shared" si="23"/>
        <v>4.858823114031087E-2</v>
      </c>
      <c r="AA9" s="122">
        <f>'FY2016 by Approp Title'!AA15*Inflator!$E$11</f>
        <v>1659029.4141446322</v>
      </c>
      <c r="AB9" s="117">
        <f t="shared" si="0"/>
        <v>-179631.02853558399</v>
      </c>
      <c r="AC9" s="114">
        <f t="shared" si="1"/>
        <v>-9.7696684154326918E-2</v>
      </c>
      <c r="AD9" s="122">
        <f>'FY2016 by Approp Title'!AD15*Inflator!$E$12</f>
        <v>1660549.5563909777</v>
      </c>
      <c r="AE9" s="117">
        <f t="shared" si="2"/>
        <v>1520.1422463455237</v>
      </c>
      <c r="AF9" s="114">
        <f t="shared" si="3"/>
        <v>9.1628408356417463E-4</v>
      </c>
      <c r="AG9" s="122">
        <f>'FY2016 by Approp Title'!AG15*Inflator!$E$13</f>
        <v>1624247.0020893104</v>
      </c>
      <c r="AH9" s="115">
        <f t="shared" si="24"/>
        <v>-36302.55430166726</v>
      </c>
      <c r="AI9" s="114">
        <f t="shared" si="25"/>
        <v>-2.1861771099783905E-2</v>
      </c>
      <c r="AJ9" s="122">
        <f>'FY2016 by Approp Title'!AJ15*Inflator!$E$14</f>
        <v>1729693.3694874849</v>
      </c>
      <c r="AK9" s="182">
        <f t="shared" si="26"/>
        <v>105446.36739817448</v>
      </c>
      <c r="AL9" s="193">
        <f t="shared" si="27"/>
        <v>6.4920155162691465E-2</v>
      </c>
      <c r="AM9" s="183">
        <f>'FY2016 by Approp Title'!AM15*Inflator!$E$15</f>
        <v>1758195.3412489004</v>
      </c>
      <c r="AN9" s="122">
        <f t="shared" si="4"/>
        <v>28501.97176141548</v>
      </c>
      <c r="AO9" s="114">
        <f t="shared" si="5"/>
        <v>1.6478048805760717E-2</v>
      </c>
      <c r="AP9" s="184">
        <f>'FY2016 by Approp Title'!AP15*Inflator!$E$16</f>
        <v>1833731.3996534795</v>
      </c>
      <c r="AQ9" s="197">
        <f t="shared" si="6"/>
        <v>75536.05840457906</v>
      </c>
      <c r="AR9" s="195">
        <f t="shared" si="7"/>
        <v>4.2962267407058122E-2</v>
      </c>
      <c r="AS9" s="189">
        <f>'FY2016 by Approp Title'!AS15*Inflator!$E$17</f>
        <v>1926395.2536979318</v>
      </c>
      <c r="AT9" s="189">
        <f t="shared" si="28"/>
        <v>92663.85404445231</v>
      </c>
      <c r="AU9" s="195">
        <f t="shared" si="29"/>
        <v>5.0532948316183608E-2</v>
      </c>
      <c r="AV9" s="309">
        <f>'FY2016 by Approp Title'!AV15*Inflator!$E$18</f>
        <v>1904219</v>
      </c>
      <c r="AW9" s="309">
        <f t="shared" si="30"/>
        <v>-22176.253697931767</v>
      </c>
      <c r="AX9" s="148">
        <f t="shared" si="31"/>
        <v>-1.1511787965300455E-2</v>
      </c>
    </row>
    <row r="10" spans="1:71" s="167" customFormat="1" ht="19.5" customHeight="1" x14ac:dyDescent="0.3">
      <c r="A10" s="78" t="s">
        <v>64</v>
      </c>
      <c r="B10" s="185">
        <f>'FY2016 by Approp Title'!B16*Inflator!$E$2</f>
        <v>386268.03349282296</v>
      </c>
      <c r="C10" s="185">
        <f>'FY2016 by Approp Title'!C16*Inflator!$E$3</f>
        <v>411903.09041731071</v>
      </c>
      <c r="D10" s="123">
        <f t="shared" si="8"/>
        <v>25635.056924487755</v>
      </c>
      <c r="E10" s="124">
        <f t="shared" si="9"/>
        <v>6.636598087779394E-2</v>
      </c>
      <c r="F10" s="185">
        <f>'FY2016 by Approp Title'!F16*Inflator!$E$4</f>
        <v>422524.78378378379</v>
      </c>
      <c r="G10" s="123">
        <f t="shared" si="10"/>
        <v>10621.693366473075</v>
      </c>
      <c r="H10" s="124">
        <f t="shared" si="11"/>
        <v>2.5786874664406951E-2</v>
      </c>
      <c r="I10" s="185">
        <f>'FY2016 by Approp Title'!I16*Inflator!$E$5</f>
        <v>414748.31089624402</v>
      </c>
      <c r="J10" s="123">
        <f t="shared" si="12"/>
        <v>-7776.4728875397705</v>
      </c>
      <c r="K10" s="124">
        <f t="shared" si="13"/>
        <v>-1.8404773367138579E-2</v>
      </c>
      <c r="L10" s="185">
        <f>'FY2016 by Approp Title'!L16*Inflator!$E$6</f>
        <v>414648.85169029445</v>
      </c>
      <c r="M10" s="123">
        <f t="shared" si="14"/>
        <v>-99.459205949562602</v>
      </c>
      <c r="N10" s="192">
        <f t="shared" si="15"/>
        <v>-2.3980617482115298E-4</v>
      </c>
      <c r="O10" s="132">
        <f>'FY2016 by Approp Title'!O16*Inflator!$E$7</f>
        <v>514391.97782470955</v>
      </c>
      <c r="P10" s="123">
        <f t="shared" si="16"/>
        <v>99743.126134415099</v>
      </c>
      <c r="Q10" s="124">
        <f t="shared" si="17"/>
        <v>0.24054842001326529</v>
      </c>
      <c r="R10" s="132">
        <f>'FY2016 by Approp Title'!R16*Inflator!$E$8</f>
        <v>448602.85234215885</v>
      </c>
      <c r="S10" s="123">
        <f t="shared" si="18"/>
        <v>-65789.125482550706</v>
      </c>
      <c r="T10" s="124">
        <f t="shared" si="19"/>
        <v>-0.12789687304371183</v>
      </c>
      <c r="U10" s="132">
        <f>'FY2016 by Approp Title'!U16*Inflator!$E$9</f>
        <v>513656.86870026519</v>
      </c>
      <c r="V10" s="126">
        <f t="shared" si="20"/>
        <v>65054.016358106339</v>
      </c>
      <c r="W10" s="127">
        <f t="shared" si="21"/>
        <v>0.14501471851652042</v>
      </c>
      <c r="X10" s="132">
        <f>'FY2016 by Approp Title'!X16*Inflator!$E$10</f>
        <v>645058.28231184511</v>
      </c>
      <c r="Y10" s="128">
        <f t="shared" si="22"/>
        <v>131401.41361157992</v>
      </c>
      <c r="Z10" s="127">
        <f t="shared" si="23"/>
        <v>0.25581554850823329</v>
      </c>
      <c r="AA10" s="132">
        <f>'FY2016 by Approp Title'!AA16*Inflator!$E$11</f>
        <v>691312.28161834984</v>
      </c>
      <c r="AB10" s="128">
        <f t="shared" si="0"/>
        <v>46253.999306504731</v>
      </c>
      <c r="AC10" s="124">
        <f t="shared" si="1"/>
        <v>7.1705147542224457E-2</v>
      </c>
      <c r="AD10" s="132">
        <f>'FY2016 by Approp Title'!AD16*Inflator!$E$12</f>
        <v>632334.40131578955</v>
      </c>
      <c r="AE10" s="128">
        <f t="shared" si="2"/>
        <v>-58977.880302560283</v>
      </c>
      <c r="AF10" s="124">
        <f t="shared" si="3"/>
        <v>-8.5312935804487816E-2</v>
      </c>
      <c r="AG10" s="132">
        <f>'FY2016 by Approp Title'!AG16*Inflator!$E$13</f>
        <v>592442.78191906912</v>
      </c>
      <c r="AH10" s="126">
        <f t="shared" si="24"/>
        <v>-39891.619396720431</v>
      </c>
      <c r="AI10" s="124">
        <f t="shared" si="25"/>
        <v>-6.3086270988439302E-2</v>
      </c>
      <c r="AJ10" s="132">
        <f>'FY2016 by Approp Title'!AJ16*Inflator!$E$14</f>
        <v>574468.07449344452</v>
      </c>
      <c r="AK10" s="186">
        <f t="shared" si="26"/>
        <v>-17974.707425624598</v>
      </c>
      <c r="AL10" s="194">
        <f t="shared" si="27"/>
        <v>-3.0339988897155709E-2</v>
      </c>
      <c r="AM10" s="187">
        <f>'FY2016 by Approp Title'!AM16*Inflator!$E$15</f>
        <v>581511.10202286718</v>
      </c>
      <c r="AN10" s="132">
        <f t="shared" si="4"/>
        <v>7043.0275294226594</v>
      </c>
      <c r="AO10" s="124">
        <f t="shared" si="5"/>
        <v>1.2260085185122033E-2</v>
      </c>
      <c r="AP10" s="188">
        <f>'FY2016 by Approp Title'!AP16*Inflator!$E$16</f>
        <v>675609.83944556734</v>
      </c>
      <c r="AQ10" s="198">
        <f t="shared" si="6"/>
        <v>94098.737422700156</v>
      </c>
      <c r="AR10" s="196">
        <f t="shared" si="7"/>
        <v>0.16181761121217569</v>
      </c>
      <c r="AS10" s="190">
        <f>'FY2016 by Approp Title'!AS16*Inflator!$E$17</f>
        <v>702777.96316236898</v>
      </c>
      <c r="AT10" s="190">
        <f t="shared" si="28"/>
        <v>27168.123716801638</v>
      </c>
      <c r="AU10" s="763">
        <f t="shared" si="29"/>
        <v>4.0212741334698286E-2</v>
      </c>
      <c r="AV10" s="743">
        <f>'FY2016 by Approp Title'!AV16*Inflator!$E$18</f>
        <v>734314</v>
      </c>
      <c r="AW10" s="743">
        <f t="shared" si="30"/>
        <v>31536.036837631022</v>
      </c>
      <c r="AX10" s="764">
        <f t="shared" si="31"/>
        <v>4.4873400263896683E-2</v>
      </c>
      <c r="AY10" s="95"/>
      <c r="AZ10" s="95"/>
      <c r="BA10" s="95"/>
      <c r="BB10" s="95"/>
      <c r="BC10" s="95"/>
      <c r="BD10" s="95"/>
      <c r="BE10" s="95"/>
      <c r="BF10" s="95"/>
      <c r="BG10" s="95"/>
      <c r="BH10" s="95"/>
      <c r="BI10" s="95"/>
      <c r="BJ10" s="95"/>
      <c r="BK10" s="95"/>
      <c r="BL10" s="95"/>
      <c r="BM10" s="95"/>
      <c r="BN10" s="95"/>
      <c r="BO10" s="95"/>
      <c r="BP10" s="95"/>
      <c r="BQ10" s="95"/>
      <c r="BR10" s="95"/>
      <c r="BS10" s="95"/>
    </row>
    <row r="11" spans="1:71" s="95" customFormat="1" ht="19.5" customHeight="1" x14ac:dyDescent="0.3">
      <c r="A11" s="79" t="s">
        <v>65</v>
      </c>
      <c r="B11" s="121">
        <f>'FY2016 by Approp Title'!B17*Inflator!$E$2</f>
        <v>567103.293062201</v>
      </c>
      <c r="C11" s="121">
        <f>'FY2016 by Approp Title'!C17*Inflator!$E$3</f>
        <v>378775.81646058738</v>
      </c>
      <c r="D11" s="113">
        <f t="shared" si="8"/>
        <v>-188327.47660161363</v>
      </c>
      <c r="E11" s="114">
        <f t="shared" si="9"/>
        <v>-0.33208672724275207</v>
      </c>
      <c r="F11" s="121">
        <f>'FY2016 by Approp Title'!F17*Inflator!$E$4</f>
        <v>381942.68747620861</v>
      </c>
      <c r="G11" s="113">
        <f t="shared" si="10"/>
        <v>3166.8710156212328</v>
      </c>
      <c r="H11" s="114">
        <f t="shared" si="11"/>
        <v>8.3608057272863256E-3</v>
      </c>
      <c r="I11" s="121">
        <f>'FY2016 by Approp Title'!I17*Inflator!$E$5</f>
        <v>394028.046113797</v>
      </c>
      <c r="J11" s="113">
        <f t="shared" si="12"/>
        <v>12085.35863758839</v>
      </c>
      <c r="K11" s="114">
        <f t="shared" si="13"/>
        <v>3.1641811805445792E-2</v>
      </c>
      <c r="L11" s="121">
        <f>'FY2016 by Approp Title'!L17*Inflator!$E$6</f>
        <v>522602.64231188659</v>
      </c>
      <c r="M11" s="113">
        <f t="shared" si="14"/>
        <v>128574.5961980896</v>
      </c>
      <c r="N11" s="191">
        <f t="shared" si="15"/>
        <v>0.32630823482284987</v>
      </c>
      <c r="O11" s="122">
        <f>'FY2016 by Approp Title'!O17*Inflator!$E$7</f>
        <v>543751.16473072849</v>
      </c>
      <c r="P11" s="113">
        <f t="shared" si="16"/>
        <v>21148.522418841894</v>
      </c>
      <c r="Q11" s="114">
        <f t="shared" si="17"/>
        <v>4.0467691332912482E-2</v>
      </c>
      <c r="R11" s="122">
        <f>'FY2016 by Approp Title'!R17*Inflator!$E$8</f>
        <v>1049710.6904276987</v>
      </c>
      <c r="S11" s="113">
        <f t="shared" si="18"/>
        <v>505959.52569697017</v>
      </c>
      <c r="T11" s="114">
        <f t="shared" si="19"/>
        <v>0.93049828398533518</v>
      </c>
      <c r="U11" s="122">
        <f>'FY2016 by Approp Title'!U17*Inflator!$E$9</f>
        <v>723706.03448275849</v>
      </c>
      <c r="V11" s="115">
        <f t="shared" si="20"/>
        <v>-326004.65594494017</v>
      </c>
      <c r="W11" s="116">
        <f t="shared" si="21"/>
        <v>-0.31056619592214635</v>
      </c>
      <c r="X11" s="122">
        <f>'FY2016 by Approp Title'!X17*Inflator!$E$10</f>
        <v>956394.55350905051</v>
      </c>
      <c r="Y11" s="117">
        <f t="shared" si="22"/>
        <v>232688.51902629202</v>
      </c>
      <c r="Z11" s="116">
        <f t="shared" si="23"/>
        <v>0.32152353018943297</v>
      </c>
      <c r="AA11" s="122">
        <f>'FY2016 by Approp Title'!AA17*Inflator!$E$11</f>
        <v>1110889.0350430075</v>
      </c>
      <c r="AB11" s="117">
        <f t="shared" si="0"/>
        <v>154494.48153395695</v>
      </c>
      <c r="AC11" s="114">
        <f t="shared" si="1"/>
        <v>0.16153843721412928</v>
      </c>
      <c r="AD11" s="122">
        <f>'FY2016 by Approp Title'!AD17*Inflator!$E$12</f>
        <v>862921.88627819554</v>
      </c>
      <c r="AE11" s="117">
        <f t="shared" si="2"/>
        <v>-247967.14876481192</v>
      </c>
      <c r="AF11" s="114">
        <f t="shared" si="3"/>
        <v>-0.22321504753641935</v>
      </c>
      <c r="AG11" s="122">
        <f>'FY2016 by Approp Title'!AG17*Inflator!$E$13</f>
        <v>947243.28234262741</v>
      </c>
      <c r="AH11" s="115">
        <f t="shared" si="24"/>
        <v>84321.396064431872</v>
      </c>
      <c r="AI11" s="114">
        <f t="shared" si="25"/>
        <v>9.7716140250089428E-2</v>
      </c>
      <c r="AJ11" s="122">
        <f>'FY2016 by Approp Title'!AJ17*Inflator!$E$14</f>
        <v>1058664.6802741359</v>
      </c>
      <c r="AK11" s="182">
        <f t="shared" si="26"/>
        <v>111421.39793150849</v>
      </c>
      <c r="AL11" s="193">
        <f t="shared" si="27"/>
        <v>0.11762701304774864</v>
      </c>
      <c r="AM11" s="183">
        <f>'FY2016 by Approp Title'!AM17*Inflator!$E$15</f>
        <v>981323.68513632356</v>
      </c>
      <c r="AN11" s="122">
        <f t="shared" si="4"/>
        <v>-77340.995137812337</v>
      </c>
      <c r="AO11" s="114">
        <f t="shared" si="5"/>
        <v>-7.3055233237577427E-2</v>
      </c>
      <c r="AP11" s="184">
        <f>'FY2016 by Approp Title'!AP17*Inflator!$E$16</f>
        <v>963629.2688420444</v>
      </c>
      <c r="AQ11" s="197">
        <f>AP11-AM11</f>
        <v>-17694.416294279159</v>
      </c>
      <c r="AR11" s="195">
        <f t="shared" si="7"/>
        <v>-1.803117214257504E-2</v>
      </c>
      <c r="AS11" s="189">
        <f>'FY2016 by Approp Title'!AS17*Inflator!$E$17</f>
        <v>1048465.8532162086</v>
      </c>
      <c r="AT11" s="189">
        <f t="shared" si="28"/>
        <v>84836.584374164231</v>
      </c>
      <c r="AU11" s="195">
        <f t="shared" si="29"/>
        <v>8.8038613102847149E-2</v>
      </c>
      <c r="AV11" s="309">
        <f>'FY2016 by Approp Title'!AV17*Inflator!$E$18</f>
        <v>1055115</v>
      </c>
      <c r="AW11" s="309">
        <f t="shared" si="30"/>
        <v>6649.146783791366</v>
      </c>
      <c r="AX11" s="148">
        <f t="shared" si="31"/>
        <v>6.3417866813638771E-3</v>
      </c>
    </row>
    <row r="12" spans="1:71" s="168" customFormat="1" ht="19.5" customHeight="1" x14ac:dyDescent="0.3">
      <c r="A12" s="80" t="s">
        <v>66</v>
      </c>
      <c r="B12" s="185">
        <f>'FY2016 by Approp Title'!B18*Inflator!$E$2</f>
        <v>4620419.3923444971</v>
      </c>
      <c r="C12" s="185">
        <f>'FY2016 by Approp Title'!C18*Inflator!$E$3</f>
        <v>4909177.9926584242</v>
      </c>
      <c r="D12" s="123">
        <f t="shared" si="8"/>
        <v>288758.60031392705</v>
      </c>
      <c r="E12" s="124">
        <f t="shared" si="9"/>
        <v>6.2496188288094973E-2</v>
      </c>
      <c r="F12" s="185">
        <f>'FY2016 by Approp Title'!F18*Inflator!$E$4</f>
        <v>4897090.0723258471</v>
      </c>
      <c r="G12" s="123">
        <f t="shared" si="10"/>
        <v>-12087.92033257708</v>
      </c>
      <c r="H12" s="124">
        <f t="shared" si="11"/>
        <v>-2.4623104622921227E-3</v>
      </c>
      <c r="I12" s="185">
        <f>'FY2016 by Approp Title'!I18*Inflator!$E$5</f>
        <v>4834704.7776124962</v>
      </c>
      <c r="J12" s="123">
        <f t="shared" si="12"/>
        <v>-62385.294713350944</v>
      </c>
      <c r="K12" s="124">
        <f t="shared" si="13"/>
        <v>-1.2739258170050644E-2</v>
      </c>
      <c r="L12" s="185">
        <f>'FY2016 by Approp Title'!L18*Inflator!$E$6</f>
        <v>5220812.4852780811</v>
      </c>
      <c r="M12" s="123">
        <f t="shared" si="14"/>
        <v>386107.70766558498</v>
      </c>
      <c r="N12" s="192">
        <f t="shared" si="15"/>
        <v>7.9861692787011301E-2</v>
      </c>
      <c r="O12" s="132">
        <f>'FY2016 by Approp Title'!O18*Inflator!$E$7</f>
        <v>5642750.7529039066</v>
      </c>
      <c r="P12" s="123">
        <f t="shared" si="16"/>
        <v>421938.26762582548</v>
      </c>
      <c r="Q12" s="124">
        <f t="shared" si="17"/>
        <v>8.0818506471096022E-2</v>
      </c>
      <c r="R12" s="132">
        <f>'FY2016 by Approp Title'!R18*Inflator!$E$8</f>
        <v>6352744.5356415482</v>
      </c>
      <c r="S12" s="123">
        <f t="shared" si="18"/>
        <v>709993.7827376416</v>
      </c>
      <c r="T12" s="124">
        <f t="shared" si="19"/>
        <v>0.12582405529293675</v>
      </c>
      <c r="U12" s="132">
        <f>'FY2016 by Approp Title'!U18*Inflator!$E$9</f>
        <v>6558685.6889920412</v>
      </c>
      <c r="V12" s="126">
        <f t="shared" si="20"/>
        <v>205941.15335049294</v>
      </c>
      <c r="W12" s="127">
        <f>V12/R12</f>
        <v>3.2417666442445009E-2</v>
      </c>
      <c r="X12" s="132">
        <f>'FY2016 by Approp Title'!X18*Inflator!$E$10</f>
        <v>7189856.8666243255</v>
      </c>
      <c r="Y12" s="128">
        <f t="shared" si="22"/>
        <v>631171.17763228435</v>
      </c>
      <c r="Z12" s="127">
        <f t="shared" si="23"/>
        <v>9.6234399323576164E-2</v>
      </c>
      <c r="AA12" s="132">
        <f>'FY2016 by Approp Title'!AA18*Inflator!$E$11</f>
        <v>7181528.525007965</v>
      </c>
      <c r="AB12" s="128">
        <f t="shared" si="0"/>
        <v>-8328.3416163604707</v>
      </c>
      <c r="AC12" s="124">
        <f t="shared" si="1"/>
        <v>-1.158345954704752E-3</v>
      </c>
      <c r="AD12" s="132">
        <f>'FY2016 by Approp Title'!AD18*Inflator!$E$12</f>
        <v>6573725.4229323315</v>
      </c>
      <c r="AE12" s="128">
        <f t="shared" si="2"/>
        <v>-607803.10207563359</v>
      </c>
      <c r="AF12" s="124">
        <f t="shared" si="3"/>
        <v>-8.4634225145678088E-2</v>
      </c>
      <c r="AG12" s="132">
        <f>'FY2016 by Approp Title'!AG18*Inflator!$E$13</f>
        <v>6778062.9602619438</v>
      </c>
      <c r="AH12" s="126">
        <f t="shared" si="24"/>
        <v>204337.5373296123</v>
      </c>
      <c r="AI12" s="124">
        <f t="shared" si="25"/>
        <v>3.1083978137691027E-2</v>
      </c>
      <c r="AJ12" s="132">
        <f>'FY2016 by Approp Title'!AJ18*Inflator!$E$14</f>
        <v>6864451.4892729437</v>
      </c>
      <c r="AK12" s="123">
        <f t="shared" si="26"/>
        <v>86388.529010999948</v>
      </c>
      <c r="AL12" s="127">
        <f t="shared" si="27"/>
        <v>1.2745312269519166E-2</v>
      </c>
      <c r="AM12" s="187">
        <f>'FY2016 by Approp Title'!AM18*Inflator!$E$15</f>
        <v>7070725.3597185565</v>
      </c>
      <c r="AN12" s="132">
        <f t="shared" si="4"/>
        <v>206273.87044561282</v>
      </c>
      <c r="AO12" s="124">
        <f t="shared" si="5"/>
        <v>3.0049577998760183E-2</v>
      </c>
      <c r="AP12" s="188">
        <f>'FY2016 by Approp Title'!AP18*Inflator!$E$16</f>
        <v>7456324.7455963036</v>
      </c>
      <c r="AQ12" s="198">
        <f t="shared" si="6"/>
        <v>385599.38587774709</v>
      </c>
      <c r="AR12" s="196">
        <f t="shared" si="7"/>
        <v>5.453462922976484E-2</v>
      </c>
      <c r="AS12" s="190">
        <f>'FY2016 by Approp Title'!AS18*Inflator!$E$17</f>
        <v>0</v>
      </c>
      <c r="AT12" s="190">
        <f t="shared" si="28"/>
        <v>-7456324.7455963036</v>
      </c>
      <c r="AU12" s="763">
        <f t="shared" si="29"/>
        <v>-1</v>
      </c>
      <c r="AV12" s="743">
        <f>'FY2016 by Approp Title'!AV18*Inflator!$E$18</f>
        <v>0</v>
      </c>
      <c r="AW12" s="743">
        <f t="shared" si="30"/>
        <v>0</v>
      </c>
      <c r="AX12" s="764" t="e">
        <f t="shared" si="31"/>
        <v>#DIV/0!</v>
      </c>
      <c r="AY12" s="141"/>
      <c r="AZ12" s="141"/>
      <c r="BA12" s="141"/>
      <c r="BB12" s="141"/>
      <c r="BC12" s="141"/>
      <c r="BD12" s="141"/>
      <c r="BE12" s="141"/>
      <c r="BF12" s="141"/>
      <c r="BG12" s="141"/>
      <c r="BH12" s="141"/>
      <c r="BI12" s="141"/>
      <c r="BJ12" s="141"/>
      <c r="BK12" s="141"/>
      <c r="BL12" s="141"/>
      <c r="BM12" s="141"/>
      <c r="BN12" s="141"/>
      <c r="BO12" s="141"/>
      <c r="BP12" s="141"/>
      <c r="BQ12" s="141"/>
      <c r="BR12" s="141"/>
      <c r="BS12" s="141"/>
    </row>
    <row r="13" spans="1:71" ht="19.5" customHeight="1" x14ac:dyDescent="0.2">
      <c r="A13" s="151"/>
      <c r="B13" s="151"/>
      <c r="C13" s="151"/>
      <c r="D13" s="151"/>
      <c r="E13" s="151"/>
      <c r="F13" s="151"/>
      <c r="G13" s="151"/>
      <c r="H13" s="151"/>
      <c r="I13" s="151"/>
      <c r="J13" s="151"/>
      <c r="K13" s="151"/>
      <c r="AA13" s="169"/>
      <c r="AD13" s="169"/>
      <c r="AE13" s="169"/>
      <c r="AF13" s="169"/>
      <c r="AG13" s="169"/>
    </row>
    <row r="14" spans="1:71" ht="19.5" customHeight="1" x14ac:dyDescent="0.2">
      <c r="A14" s="170"/>
      <c r="B14" s="170"/>
      <c r="C14" s="170"/>
      <c r="D14" s="170"/>
      <c r="E14" s="170"/>
      <c r="F14" s="170"/>
      <c r="G14" s="170"/>
      <c r="H14" s="170"/>
      <c r="I14" s="170"/>
      <c r="J14" s="170"/>
      <c r="K14" s="170"/>
      <c r="AA14" s="169"/>
      <c r="AD14" s="169"/>
      <c r="AE14" s="169"/>
      <c r="AF14" s="169"/>
      <c r="AG14" s="169"/>
    </row>
    <row r="15" spans="1:71" ht="19.5" customHeight="1" x14ac:dyDescent="0.2">
      <c r="A15" s="170"/>
      <c r="B15" s="170"/>
      <c r="C15" s="170"/>
      <c r="D15" s="170"/>
      <c r="E15" s="170"/>
      <c r="F15" s="170"/>
      <c r="G15" s="170"/>
      <c r="H15" s="170"/>
      <c r="I15" s="170"/>
      <c r="J15" s="170"/>
      <c r="K15" s="170"/>
      <c r="AG15" s="150"/>
    </row>
    <row r="16" spans="1:71" ht="19.5" customHeight="1" x14ac:dyDescent="0.3">
      <c r="A16" s="171"/>
      <c r="B16" s="171"/>
      <c r="C16" s="171"/>
      <c r="D16" s="171"/>
      <c r="E16" s="171"/>
      <c r="F16" s="171"/>
      <c r="G16" s="171"/>
      <c r="H16" s="171"/>
      <c r="I16" s="171"/>
      <c r="J16" s="171"/>
      <c r="K16" s="171"/>
      <c r="L16" s="172"/>
      <c r="M16" s="173"/>
      <c r="N16" s="174"/>
      <c r="O16" s="175"/>
      <c r="P16" s="176"/>
      <c r="Q16" s="176"/>
      <c r="R16" s="175"/>
      <c r="AG16" s="177"/>
    </row>
    <row r="17" spans="1:18" ht="19.5" customHeight="1" x14ac:dyDescent="0.3">
      <c r="A17" s="171"/>
      <c r="B17" s="171"/>
      <c r="C17" s="171"/>
      <c r="D17" s="171"/>
      <c r="E17" s="171"/>
      <c r="F17" s="171"/>
      <c r="G17" s="171"/>
      <c r="H17" s="171"/>
      <c r="I17" s="171"/>
      <c r="J17" s="171"/>
      <c r="K17" s="171"/>
      <c r="L17" s="172"/>
      <c r="M17" s="173"/>
      <c r="N17" s="174"/>
      <c r="O17" s="175"/>
      <c r="P17" s="176"/>
      <c r="Q17" s="176"/>
      <c r="R17" s="175"/>
    </row>
    <row r="18" spans="1:18" ht="19.5" customHeight="1" x14ac:dyDescent="0.3">
      <c r="A18" s="171"/>
      <c r="B18" s="171"/>
      <c r="C18" s="171"/>
      <c r="D18" s="171"/>
      <c r="E18" s="171"/>
      <c r="F18" s="171"/>
      <c r="G18" s="171"/>
      <c r="H18" s="171"/>
      <c r="I18" s="171"/>
      <c r="J18" s="171"/>
      <c r="K18" s="171"/>
      <c r="L18" s="172"/>
      <c r="M18" s="173"/>
      <c r="N18" s="174"/>
      <c r="O18" s="175"/>
      <c r="P18" s="176"/>
      <c r="Q18" s="176"/>
      <c r="R18" s="175"/>
    </row>
    <row r="19" spans="1:18" ht="19.5" customHeight="1" x14ac:dyDescent="0.3">
      <c r="A19" s="171"/>
      <c r="B19" s="171"/>
      <c r="C19" s="171"/>
      <c r="D19" s="171"/>
      <c r="E19" s="171"/>
      <c r="F19" s="171"/>
      <c r="G19" s="171"/>
      <c r="H19" s="171"/>
      <c r="I19" s="171"/>
      <c r="J19" s="171"/>
      <c r="K19" s="171"/>
      <c r="L19" s="172"/>
      <c r="M19" s="173"/>
      <c r="N19" s="174"/>
      <c r="O19" s="175"/>
      <c r="P19" s="176"/>
      <c r="Q19" s="176"/>
      <c r="R19" s="175"/>
    </row>
    <row r="20" spans="1:18" ht="19.5" customHeight="1" x14ac:dyDescent="0.3">
      <c r="A20" s="171"/>
      <c r="B20" s="171"/>
      <c r="C20" s="171"/>
      <c r="D20" s="171"/>
      <c r="E20" s="171"/>
      <c r="F20" s="171"/>
      <c r="G20" s="171"/>
      <c r="H20" s="171"/>
      <c r="I20" s="171"/>
      <c r="J20" s="171"/>
      <c r="K20" s="171"/>
      <c r="L20" s="172"/>
      <c r="M20" s="173"/>
      <c r="N20" s="174"/>
      <c r="O20" s="175"/>
      <c r="P20" s="176"/>
      <c r="Q20" s="176"/>
      <c r="R20" s="175"/>
    </row>
    <row r="21" spans="1:18" ht="19.5" customHeight="1" x14ac:dyDescent="0.3">
      <c r="A21" s="171"/>
      <c r="B21" s="171"/>
      <c r="C21" s="171"/>
      <c r="D21" s="171"/>
      <c r="E21" s="171"/>
      <c r="F21" s="171"/>
      <c r="G21" s="171"/>
      <c r="H21" s="171"/>
      <c r="I21" s="171"/>
      <c r="J21" s="171"/>
      <c r="K21" s="171"/>
      <c r="L21" s="172"/>
      <c r="M21" s="173"/>
      <c r="N21" s="174"/>
      <c r="O21" s="175"/>
      <c r="P21" s="176"/>
      <c r="Q21" s="176"/>
      <c r="R21" s="175"/>
    </row>
    <row r="22" spans="1:18" ht="19.5" customHeight="1" x14ac:dyDescent="0.3">
      <c r="A22" s="171"/>
      <c r="B22" s="171"/>
      <c r="C22" s="171"/>
      <c r="D22" s="171"/>
      <c r="E22" s="171"/>
      <c r="F22" s="171"/>
      <c r="G22" s="171"/>
      <c r="H22" s="171"/>
      <c r="I22" s="171"/>
      <c r="J22" s="171"/>
      <c r="K22" s="171"/>
      <c r="L22" s="172"/>
      <c r="M22" s="173"/>
      <c r="N22" s="174"/>
      <c r="O22" s="175"/>
      <c r="P22" s="176"/>
      <c r="Q22" s="176"/>
      <c r="R22" s="175"/>
    </row>
    <row r="23" spans="1:18" ht="19.5" customHeight="1" x14ac:dyDescent="0.3">
      <c r="A23" s="178"/>
      <c r="B23" s="178"/>
      <c r="C23" s="178"/>
      <c r="D23" s="178"/>
      <c r="E23" s="178"/>
      <c r="F23" s="178"/>
      <c r="G23" s="178"/>
      <c r="H23" s="178"/>
      <c r="I23" s="178"/>
      <c r="J23" s="178"/>
      <c r="K23" s="178"/>
      <c r="L23" s="172"/>
      <c r="M23" s="173"/>
      <c r="N23" s="174"/>
      <c r="O23" s="175"/>
      <c r="P23" s="176"/>
      <c r="Q23" s="176"/>
      <c r="R23" s="175"/>
    </row>
    <row r="24" spans="1:18" ht="19.5" customHeight="1" x14ac:dyDescent="0.2">
      <c r="A24" s="170"/>
      <c r="B24" s="170"/>
      <c r="C24" s="170"/>
      <c r="D24" s="170"/>
      <c r="E24" s="170"/>
      <c r="F24" s="170"/>
      <c r="G24" s="170"/>
      <c r="H24" s="170"/>
      <c r="I24" s="170"/>
      <c r="J24" s="170"/>
      <c r="K24" s="170"/>
      <c r="L24" s="170"/>
      <c r="M24" s="170"/>
      <c r="N24" s="172"/>
      <c r="O24" s="172"/>
    </row>
    <row r="25" spans="1:18" ht="19.5" customHeight="1" x14ac:dyDescent="0.25">
      <c r="A25" s="179"/>
      <c r="B25" s="179"/>
      <c r="C25" s="179"/>
      <c r="D25" s="179"/>
      <c r="E25" s="179"/>
      <c r="F25" s="179"/>
      <c r="G25" s="179"/>
      <c r="H25" s="179"/>
      <c r="I25" s="179"/>
      <c r="J25" s="179"/>
      <c r="K25" s="179"/>
      <c r="L25" s="179"/>
      <c r="M25" s="179"/>
      <c r="N25" s="179"/>
      <c r="O25" s="179"/>
      <c r="P25" s="180"/>
      <c r="Q25" s="181"/>
    </row>
    <row r="26" spans="1:18" ht="19.5" customHeight="1" x14ac:dyDescent="0.25">
      <c r="A26" s="179"/>
      <c r="B26" s="179"/>
      <c r="C26" s="179"/>
      <c r="D26" s="179"/>
      <c r="E26" s="179"/>
      <c r="F26" s="179"/>
      <c r="G26" s="179"/>
      <c r="H26" s="179"/>
      <c r="I26" s="179"/>
      <c r="J26" s="179"/>
      <c r="K26" s="179"/>
      <c r="L26" s="179"/>
      <c r="M26" s="179"/>
      <c r="N26" s="179"/>
      <c r="O26" s="179"/>
      <c r="P26" s="180"/>
      <c r="Q26" s="181"/>
    </row>
    <row r="27" spans="1:18" ht="19.5" customHeight="1" x14ac:dyDescent="0.25">
      <c r="A27" s="179"/>
      <c r="B27" s="179"/>
      <c r="C27" s="179"/>
      <c r="D27" s="179"/>
      <c r="E27" s="179"/>
      <c r="F27" s="179"/>
      <c r="G27" s="179"/>
      <c r="H27" s="179"/>
      <c r="I27" s="179"/>
      <c r="J27" s="179"/>
      <c r="K27" s="179"/>
      <c r="L27" s="179"/>
      <c r="M27" s="179"/>
      <c r="N27" s="179"/>
      <c r="O27" s="179"/>
      <c r="P27" s="180"/>
      <c r="Q27" s="181"/>
    </row>
    <row r="28" spans="1:18" ht="19.5" customHeight="1" x14ac:dyDescent="0.25">
      <c r="A28" s="179"/>
      <c r="B28" s="179"/>
      <c r="C28" s="179"/>
      <c r="D28" s="179"/>
      <c r="E28" s="179"/>
      <c r="F28" s="179"/>
      <c r="G28" s="179"/>
      <c r="H28" s="179"/>
      <c r="I28" s="179"/>
      <c r="J28" s="179"/>
      <c r="K28" s="179"/>
      <c r="L28" s="179"/>
      <c r="M28" s="179"/>
      <c r="N28" s="179"/>
      <c r="O28" s="179"/>
      <c r="P28" s="180"/>
      <c r="Q28" s="181"/>
    </row>
    <row r="29" spans="1:18" ht="19.5" customHeight="1" x14ac:dyDescent="0.25">
      <c r="A29" s="179"/>
      <c r="B29" s="179"/>
      <c r="C29" s="179"/>
      <c r="D29" s="179"/>
      <c r="E29" s="179"/>
      <c r="F29" s="179"/>
      <c r="G29" s="179"/>
      <c r="H29" s="179"/>
      <c r="I29" s="179"/>
      <c r="J29" s="179"/>
      <c r="K29" s="179"/>
      <c r="L29" s="179"/>
      <c r="M29" s="179"/>
      <c r="N29" s="179"/>
      <c r="O29" s="179"/>
      <c r="P29" s="180"/>
      <c r="Q29" s="181"/>
    </row>
    <row r="30" spans="1:18" ht="19.5" customHeight="1" x14ac:dyDescent="0.25">
      <c r="A30" s="179"/>
      <c r="B30" s="179"/>
      <c r="C30" s="179"/>
      <c r="D30" s="179"/>
      <c r="E30" s="179"/>
      <c r="F30" s="179"/>
      <c r="G30" s="179"/>
      <c r="H30" s="179"/>
      <c r="I30" s="179"/>
      <c r="J30" s="179"/>
      <c r="K30" s="179"/>
      <c r="L30" s="179"/>
      <c r="M30" s="179"/>
      <c r="N30" s="179"/>
      <c r="O30" s="179"/>
      <c r="P30" s="180"/>
      <c r="Q30" s="181"/>
    </row>
    <row r="31" spans="1:18" ht="19.5" customHeight="1" x14ac:dyDescent="0.25">
      <c r="A31" s="179"/>
      <c r="B31" s="179"/>
      <c r="C31" s="179"/>
      <c r="D31" s="179"/>
      <c r="E31" s="179"/>
      <c r="F31" s="179"/>
      <c r="G31" s="179"/>
      <c r="H31" s="179"/>
      <c r="I31" s="179"/>
      <c r="J31" s="179"/>
      <c r="K31" s="179"/>
      <c r="L31" s="179"/>
      <c r="M31" s="179"/>
      <c r="N31" s="179"/>
      <c r="O31" s="179"/>
      <c r="P31" s="180"/>
      <c r="Q31" s="181"/>
    </row>
    <row r="32" spans="1:18" ht="19.5" customHeight="1" x14ac:dyDescent="0.25">
      <c r="A32" s="179"/>
      <c r="B32" s="179"/>
      <c r="C32" s="179"/>
      <c r="D32" s="179"/>
      <c r="E32" s="179"/>
      <c r="F32" s="179"/>
      <c r="G32" s="179"/>
      <c r="H32" s="179"/>
      <c r="I32" s="179"/>
      <c r="J32" s="179"/>
      <c r="K32" s="179"/>
      <c r="L32" s="179"/>
      <c r="M32" s="179"/>
      <c r="N32" s="179"/>
      <c r="O32" s="179"/>
      <c r="P32" s="180"/>
      <c r="Q32" s="181"/>
    </row>
    <row r="33" spans="1:17" ht="19.5" customHeight="1" x14ac:dyDescent="0.25">
      <c r="A33" s="179"/>
      <c r="B33" s="179"/>
      <c r="C33" s="179"/>
      <c r="D33" s="179"/>
      <c r="E33" s="179"/>
      <c r="F33" s="179"/>
      <c r="G33" s="179"/>
      <c r="H33" s="179"/>
      <c r="I33" s="179"/>
      <c r="J33" s="179"/>
      <c r="K33" s="179"/>
      <c r="L33" s="179"/>
      <c r="M33" s="179"/>
      <c r="N33" s="179"/>
      <c r="O33" s="179"/>
      <c r="P33" s="180"/>
      <c r="Q33" s="181"/>
    </row>
    <row r="34" spans="1:17" ht="19.5" customHeight="1" x14ac:dyDescent="0.25">
      <c r="A34" s="179"/>
      <c r="B34" s="179"/>
      <c r="C34" s="179"/>
      <c r="D34" s="179"/>
      <c r="E34" s="179"/>
      <c r="F34" s="179"/>
      <c r="G34" s="179"/>
      <c r="H34" s="179"/>
      <c r="I34" s="179"/>
      <c r="J34" s="179"/>
      <c r="K34" s="179"/>
      <c r="L34" s="179"/>
      <c r="M34" s="179"/>
      <c r="N34" s="179"/>
      <c r="O34" s="179"/>
      <c r="P34" s="180"/>
      <c r="Q34" s="181"/>
    </row>
    <row r="35" spans="1:17" ht="19.5" customHeight="1" x14ac:dyDescent="0.25">
      <c r="A35" s="179"/>
      <c r="B35" s="179"/>
      <c r="C35" s="179"/>
      <c r="D35" s="179"/>
      <c r="E35" s="179"/>
      <c r="F35" s="179"/>
      <c r="G35" s="179"/>
      <c r="H35" s="179"/>
      <c r="I35" s="179"/>
      <c r="J35" s="179"/>
      <c r="K35" s="179"/>
      <c r="L35" s="179"/>
      <c r="M35" s="179"/>
      <c r="N35" s="179"/>
      <c r="O35" s="179"/>
      <c r="P35" s="180"/>
      <c r="Q35" s="181"/>
    </row>
    <row r="36" spans="1:17" ht="19.5" customHeight="1" x14ac:dyDescent="0.25">
      <c r="A36" s="179"/>
      <c r="B36" s="179"/>
      <c r="C36" s="179"/>
      <c r="D36" s="179"/>
      <c r="E36" s="179"/>
      <c r="F36" s="179"/>
      <c r="G36" s="179"/>
      <c r="H36" s="179"/>
      <c r="I36" s="179"/>
      <c r="J36" s="179"/>
      <c r="K36" s="179"/>
      <c r="L36" s="179"/>
      <c r="M36" s="179"/>
      <c r="N36" s="179"/>
      <c r="O36" s="179"/>
      <c r="P36" s="180"/>
      <c r="Q36" s="181"/>
    </row>
    <row r="37" spans="1:17" ht="19.5" customHeight="1" x14ac:dyDescent="0.25">
      <c r="A37" s="179"/>
      <c r="B37" s="179"/>
      <c r="C37" s="179"/>
      <c r="D37" s="179"/>
      <c r="E37" s="179"/>
      <c r="F37" s="179"/>
      <c r="G37" s="179"/>
      <c r="H37" s="179"/>
      <c r="I37" s="179"/>
      <c r="J37" s="179"/>
      <c r="K37" s="179"/>
      <c r="L37" s="179"/>
      <c r="M37" s="179"/>
      <c r="N37" s="179"/>
      <c r="O37" s="179"/>
      <c r="P37" s="180"/>
      <c r="Q37" s="181"/>
    </row>
    <row r="38" spans="1:17" ht="19.5" customHeight="1" x14ac:dyDescent="0.25">
      <c r="A38" s="179"/>
      <c r="B38" s="179"/>
      <c r="C38" s="179"/>
      <c r="D38" s="179"/>
      <c r="E38" s="179"/>
      <c r="F38" s="179"/>
      <c r="G38" s="179"/>
      <c r="H38" s="179"/>
      <c r="I38" s="179"/>
      <c r="J38" s="179"/>
      <c r="K38" s="179"/>
      <c r="L38" s="179"/>
      <c r="M38" s="179"/>
      <c r="N38" s="179"/>
      <c r="O38" s="179"/>
      <c r="P38" s="180"/>
      <c r="Q38" s="181"/>
    </row>
    <row r="39" spans="1:17" ht="19.5" customHeight="1" x14ac:dyDescent="0.25">
      <c r="A39" s="179"/>
      <c r="B39" s="179"/>
      <c r="C39" s="179"/>
      <c r="D39" s="179"/>
      <c r="E39" s="179"/>
      <c r="F39" s="179"/>
      <c r="G39" s="179"/>
      <c r="H39" s="179"/>
      <c r="I39" s="179"/>
      <c r="J39" s="179"/>
      <c r="K39" s="179"/>
      <c r="L39" s="179"/>
      <c r="M39" s="179"/>
      <c r="N39" s="179"/>
      <c r="O39" s="179"/>
      <c r="P39" s="180"/>
      <c r="Q39" s="181"/>
    </row>
    <row r="40" spans="1:17" ht="19.5" customHeight="1" x14ac:dyDescent="0.25">
      <c r="A40" s="179"/>
      <c r="B40" s="179"/>
      <c r="C40" s="179"/>
      <c r="D40" s="179"/>
      <c r="E40" s="179"/>
      <c r="F40" s="179"/>
      <c r="G40" s="179"/>
      <c r="H40" s="179"/>
      <c r="I40" s="179"/>
      <c r="J40" s="179"/>
      <c r="K40" s="179"/>
      <c r="L40" s="179"/>
      <c r="M40" s="179"/>
      <c r="N40" s="179"/>
      <c r="O40" s="179"/>
      <c r="P40" s="180"/>
      <c r="Q40" s="181"/>
    </row>
    <row r="41" spans="1:17" ht="19.5" customHeight="1" x14ac:dyDescent="0.25">
      <c r="A41" s="179"/>
      <c r="B41" s="179"/>
      <c r="C41" s="179"/>
      <c r="D41" s="179"/>
      <c r="E41" s="179"/>
      <c r="F41" s="179"/>
      <c r="G41" s="179"/>
      <c r="H41" s="179"/>
      <c r="I41" s="179"/>
      <c r="J41" s="179"/>
      <c r="K41" s="179"/>
      <c r="L41" s="179"/>
      <c r="M41" s="179"/>
      <c r="N41" s="179"/>
      <c r="O41" s="179"/>
      <c r="P41" s="180"/>
      <c r="Q41" s="181"/>
    </row>
    <row r="42" spans="1:17" ht="19.5" customHeight="1" x14ac:dyDescent="0.25">
      <c r="A42" s="179"/>
      <c r="B42" s="179"/>
      <c r="C42" s="179"/>
      <c r="D42" s="179"/>
      <c r="E42" s="179"/>
      <c r="F42" s="179"/>
      <c r="G42" s="179"/>
      <c r="H42" s="179"/>
      <c r="I42" s="179"/>
      <c r="J42" s="179"/>
      <c r="K42" s="179"/>
      <c r="L42" s="179"/>
      <c r="M42" s="179"/>
      <c r="N42" s="179"/>
      <c r="O42" s="179"/>
      <c r="P42" s="180"/>
      <c r="Q42" s="181"/>
    </row>
    <row r="43" spans="1:17" ht="19.5" customHeight="1" x14ac:dyDescent="0.25">
      <c r="A43" s="179"/>
      <c r="B43" s="179"/>
      <c r="C43" s="179"/>
      <c r="D43" s="179"/>
      <c r="E43" s="179"/>
      <c r="F43" s="179"/>
      <c r="G43" s="179"/>
      <c r="H43" s="179"/>
      <c r="I43" s="179"/>
      <c r="J43" s="179"/>
      <c r="K43" s="179"/>
      <c r="L43" s="179"/>
      <c r="M43" s="179"/>
      <c r="N43" s="179"/>
      <c r="O43" s="179"/>
      <c r="P43" s="180"/>
      <c r="Q43" s="181"/>
    </row>
    <row r="44" spans="1:17" ht="19.5" customHeight="1" x14ac:dyDescent="0.25">
      <c r="L44" s="179"/>
      <c r="M44" s="179"/>
      <c r="N44" s="179"/>
      <c r="O44" s="179"/>
      <c r="P44" s="180"/>
      <c r="Q44" s="181"/>
    </row>
    <row r="45" spans="1:17" ht="19.5" customHeight="1" x14ac:dyDescent="0.25">
      <c r="A45" s="180"/>
      <c r="B45" s="180"/>
      <c r="C45" s="180"/>
      <c r="D45" s="180"/>
      <c r="E45" s="180"/>
      <c r="F45" s="180"/>
      <c r="G45" s="180"/>
      <c r="H45" s="180"/>
      <c r="I45" s="180"/>
      <c r="J45" s="180"/>
      <c r="K45" s="180"/>
      <c r="L45" s="180"/>
      <c r="M45" s="180"/>
      <c r="N45" s="180"/>
      <c r="O45" s="180"/>
      <c r="P45" s="180"/>
      <c r="Q45" s="181"/>
    </row>
    <row r="46" spans="1:17" ht="19.5" customHeight="1" x14ac:dyDescent="0.25">
      <c r="A46" s="180"/>
      <c r="B46" s="180"/>
      <c r="C46" s="180"/>
      <c r="D46" s="180"/>
      <c r="E46" s="180"/>
      <c r="F46" s="180"/>
      <c r="G46" s="180"/>
      <c r="H46" s="180"/>
      <c r="I46" s="180"/>
      <c r="J46" s="180"/>
      <c r="K46" s="180"/>
      <c r="L46" s="180"/>
      <c r="M46" s="180"/>
      <c r="N46" s="180"/>
      <c r="O46" s="180"/>
      <c r="P46" s="180"/>
      <c r="Q46" s="181"/>
    </row>
    <row r="47" spans="1:17" ht="19.5" customHeight="1" x14ac:dyDescent="0.25">
      <c r="A47" s="180"/>
      <c r="B47" s="180"/>
      <c r="C47" s="180"/>
      <c r="D47" s="180"/>
      <c r="E47" s="180"/>
      <c r="F47" s="180"/>
      <c r="G47" s="180"/>
      <c r="H47" s="180"/>
      <c r="I47" s="180"/>
      <c r="J47" s="180"/>
      <c r="K47" s="180"/>
      <c r="L47" s="180"/>
      <c r="M47" s="180"/>
      <c r="N47" s="180"/>
      <c r="O47" s="180"/>
      <c r="P47" s="180"/>
      <c r="Q47" s="181"/>
    </row>
    <row r="48" spans="1:17" ht="19.5" customHeight="1" x14ac:dyDescent="0.25">
      <c r="A48" s="180"/>
      <c r="B48" s="180"/>
      <c r="C48" s="180"/>
      <c r="D48" s="180"/>
      <c r="E48" s="180"/>
      <c r="F48" s="180"/>
      <c r="G48" s="180"/>
      <c r="H48" s="180"/>
      <c r="I48" s="180"/>
      <c r="J48" s="180"/>
      <c r="K48" s="180"/>
      <c r="L48" s="180"/>
      <c r="M48" s="180"/>
      <c r="N48" s="180"/>
      <c r="O48" s="180"/>
      <c r="P48" s="180"/>
      <c r="Q48" s="181"/>
    </row>
    <row r="49" spans="1:17" ht="19.5" customHeight="1" x14ac:dyDescent="0.25">
      <c r="A49" s="180"/>
      <c r="B49" s="180"/>
      <c r="C49" s="180"/>
      <c r="D49" s="180"/>
      <c r="E49" s="180"/>
      <c r="F49" s="180"/>
      <c r="G49" s="180"/>
      <c r="H49" s="180"/>
      <c r="I49" s="180"/>
      <c r="J49" s="180"/>
      <c r="K49" s="180"/>
      <c r="L49" s="180"/>
      <c r="M49" s="180"/>
      <c r="N49" s="180"/>
      <c r="O49" s="180"/>
      <c r="P49" s="180"/>
      <c r="Q49" s="181"/>
    </row>
    <row r="50" spans="1:17" ht="19.5" customHeight="1" x14ac:dyDescent="0.25">
      <c r="A50" s="180"/>
      <c r="B50" s="180"/>
      <c r="C50" s="180"/>
      <c r="D50" s="180"/>
      <c r="E50" s="180"/>
      <c r="F50" s="180"/>
      <c r="G50" s="180"/>
      <c r="H50" s="180"/>
      <c r="I50" s="180"/>
      <c r="J50" s="180"/>
      <c r="K50" s="180"/>
      <c r="L50" s="180"/>
      <c r="M50" s="180"/>
      <c r="N50" s="180"/>
      <c r="O50" s="180"/>
      <c r="P50" s="180"/>
      <c r="Q50" s="181"/>
    </row>
    <row r="51" spans="1:17" ht="19.5" customHeight="1" x14ac:dyDescent="0.25">
      <c r="A51" s="180"/>
      <c r="B51" s="180"/>
      <c r="C51" s="180"/>
      <c r="D51" s="180"/>
      <c r="E51" s="180"/>
      <c r="F51" s="180"/>
      <c r="G51" s="180"/>
      <c r="H51" s="180"/>
      <c r="I51" s="180"/>
      <c r="J51" s="180"/>
      <c r="K51" s="180"/>
      <c r="L51" s="180"/>
      <c r="M51" s="180"/>
      <c r="N51" s="180"/>
      <c r="O51" s="180"/>
      <c r="P51" s="180"/>
      <c r="Q51" s="181"/>
    </row>
    <row r="52" spans="1:17" ht="19.5" customHeight="1" x14ac:dyDescent="0.25">
      <c r="A52" s="180"/>
      <c r="B52" s="180"/>
      <c r="C52" s="180"/>
      <c r="D52" s="180"/>
      <c r="E52" s="180"/>
      <c r="F52" s="180"/>
      <c r="G52" s="180"/>
      <c r="H52" s="180"/>
      <c r="I52" s="180"/>
      <c r="J52" s="180"/>
      <c r="K52" s="180"/>
      <c r="L52" s="180"/>
      <c r="M52" s="180"/>
      <c r="N52" s="180"/>
      <c r="O52" s="180"/>
      <c r="P52" s="180"/>
      <c r="Q52" s="181"/>
    </row>
    <row r="53" spans="1:17" ht="19.5" customHeight="1" x14ac:dyDescent="0.25">
      <c r="A53" s="180"/>
      <c r="B53" s="180"/>
      <c r="C53" s="180"/>
      <c r="D53" s="180"/>
      <c r="E53" s="180"/>
      <c r="F53" s="180"/>
      <c r="G53" s="180"/>
      <c r="H53" s="180"/>
      <c r="I53" s="180"/>
      <c r="J53" s="180"/>
      <c r="K53" s="180"/>
      <c r="L53" s="180"/>
      <c r="M53" s="180"/>
      <c r="N53" s="180"/>
      <c r="O53" s="180"/>
      <c r="P53" s="180"/>
      <c r="Q53" s="181"/>
    </row>
    <row r="54" spans="1:17" ht="19.5" customHeight="1" x14ac:dyDescent="0.25">
      <c r="A54" s="180"/>
      <c r="B54" s="180"/>
      <c r="C54" s="180"/>
      <c r="D54" s="180"/>
      <c r="E54" s="180"/>
      <c r="F54" s="180"/>
      <c r="G54" s="180"/>
      <c r="H54" s="180"/>
      <c r="I54" s="180"/>
      <c r="J54" s="180"/>
      <c r="K54" s="180"/>
      <c r="L54" s="180"/>
      <c r="M54" s="180"/>
      <c r="N54" s="180"/>
      <c r="O54" s="180"/>
      <c r="P54" s="180"/>
      <c r="Q54" s="181"/>
    </row>
    <row r="55" spans="1:17" ht="19.5" customHeight="1" x14ac:dyDescent="0.25">
      <c r="A55" s="180"/>
      <c r="B55" s="180"/>
      <c r="C55" s="180"/>
      <c r="D55" s="180"/>
      <c r="E55" s="180"/>
      <c r="F55" s="180"/>
      <c r="G55" s="180"/>
      <c r="H55" s="180"/>
      <c r="I55" s="180"/>
      <c r="J55" s="180"/>
      <c r="K55" s="180"/>
      <c r="L55" s="180"/>
      <c r="M55" s="180"/>
      <c r="N55" s="180"/>
      <c r="O55" s="180"/>
      <c r="P55" s="180"/>
      <c r="Q55" s="181"/>
    </row>
    <row r="56" spans="1:17" ht="19.5" customHeight="1" x14ac:dyDescent="0.25">
      <c r="A56" s="180"/>
      <c r="B56" s="180"/>
      <c r="C56" s="180"/>
      <c r="D56" s="180"/>
      <c r="E56" s="180"/>
      <c r="F56" s="180"/>
      <c r="G56" s="180"/>
      <c r="H56" s="180"/>
      <c r="I56" s="180"/>
      <c r="J56" s="180"/>
      <c r="K56" s="180"/>
      <c r="L56" s="180"/>
      <c r="M56" s="180"/>
      <c r="N56" s="180"/>
      <c r="O56" s="180"/>
      <c r="P56" s="180"/>
      <c r="Q56" s="181"/>
    </row>
    <row r="57" spans="1:17" ht="19.5" customHeight="1" x14ac:dyDescent="0.25">
      <c r="A57" s="180"/>
      <c r="B57" s="180"/>
      <c r="C57" s="180"/>
      <c r="D57" s="180"/>
      <c r="E57" s="180"/>
      <c r="F57" s="180"/>
      <c r="G57" s="180"/>
      <c r="H57" s="180"/>
      <c r="I57" s="180"/>
      <c r="J57" s="180"/>
      <c r="K57" s="180"/>
      <c r="L57" s="180"/>
      <c r="M57" s="180"/>
      <c r="N57" s="180"/>
      <c r="O57" s="180"/>
      <c r="P57" s="180"/>
      <c r="Q57" s="181"/>
    </row>
    <row r="58" spans="1:17" ht="19.5" customHeight="1" x14ac:dyDescent="0.25">
      <c r="A58" s="180"/>
      <c r="B58" s="180"/>
      <c r="C58" s="180"/>
      <c r="D58" s="180"/>
      <c r="E58" s="180"/>
      <c r="F58" s="180"/>
      <c r="G58" s="180"/>
      <c r="H58" s="180"/>
      <c r="I58" s="180"/>
      <c r="J58" s="180"/>
      <c r="K58" s="180"/>
      <c r="L58" s="180"/>
      <c r="M58" s="180"/>
      <c r="N58" s="180"/>
      <c r="O58" s="180"/>
      <c r="P58" s="180"/>
      <c r="Q58" s="181"/>
    </row>
  </sheetData>
  <customSheetViews>
    <customSheetView guid="{AEFEB150-9213-45F5-A178-7AC71E46DB11}" scale="85" topLeftCell="K1">
      <selection activeCell="W14" sqref="W14"/>
      <pageMargins left="0" right="0" top="0" bottom="0" header="0" footer="0"/>
      <headerFooter alignWithMargins="0"/>
    </customSheetView>
    <customSheetView guid="{AB763728-FC8E-40B1-8BAD-FF6772AD9A46}" scale="85" topLeftCell="K1">
      <selection activeCell="W14" sqref="W14"/>
      <pageMargins left="0" right="0" top="0" bottom="0" header="0" footer="0"/>
      <headerFooter alignWithMargins="0"/>
    </customSheetView>
    <customSheetView guid="{08B0A6E6-0C62-4331-9E9A-05DFF5B8DF5B}" scale="85" topLeftCell="AJ1">
      <selection activeCell="AS5" sqref="AS5"/>
      <pageMargins left="0" right="0" top="0" bottom="0" header="0" footer="0"/>
      <headerFooter alignWithMargins="0"/>
    </customSheetView>
    <customSheetView guid="{70E2A0B1-0EA6-43AE-8715-395179465BE5}" scale="85" topLeftCell="A6">
      <selection activeCell="AO11" sqref="AO11"/>
      <pageMargins left="0" right="0" top="0" bottom="0" header="0" footer="0"/>
      <headerFooter alignWithMargins="0"/>
    </customSheetView>
    <customSheetView guid="{34052DE1-5E82-4B7C-8FA6-8E533676FB0A}" scale="85" topLeftCell="AF6">
      <selection activeCell="AO14" sqref="AO14"/>
      <pageMargins left="0" right="0" top="0" bottom="0" header="0" footer="0"/>
      <headerFooter alignWithMargins="0"/>
    </customSheetView>
    <customSheetView guid="{A2518DB3-3A80-4035-9307-EC50A7C923F2}" scale="85" topLeftCell="AE6">
      <selection activeCell="AN11" sqref="AN11"/>
      <pageMargins left="0" right="0" top="0" bottom="0" header="0" footer="0"/>
      <headerFooter alignWithMargins="0"/>
    </customSheetView>
    <customSheetView guid="{E81D05A4-5B21-42D3-A8D3-906ABCABC0F4}" scale="85" hiddenColumns="1" topLeftCell="AH6">
      <selection activeCell="AN11" sqref="AN11"/>
      <pageMargins left="0" right="0" top="0" bottom="0" header="0" footer="0"/>
      <headerFooter alignWithMargins="0"/>
    </customSheetView>
    <customSheetView guid="{E44F5FE1-54FC-4AB3-84F9-7D65ACF2DDE7}" scale="85" hiddenColumns="1" topLeftCell="K1">
      <selection activeCell="W14" sqref="W14"/>
      <pageMargins left="0" right="0" top="0" bottom="0" header="0" footer="0"/>
      <headerFooter alignWithMargins="0"/>
    </customSheetView>
    <customSheetView guid="{94DA13B6-7351-40F3-8CF7-A4211EC439DA}" scale="85" hiddenColumns="1" topLeftCell="K1">
      <selection activeCell="W14" sqref="W14"/>
      <pageMargins left="0" right="0" top="0" bottom="0" header="0" footer="0"/>
      <headerFooter alignWithMargins="0"/>
    </customSheetView>
    <customSheetView guid="{8F508F4D-4777-42BE-9707-8CB9355F7BDB}" scale="85" hiddenColumns="1" topLeftCell="X1">
      <selection activeCell="AE8" sqref="AE8"/>
      <pageMargins left="0" right="0" top="0" bottom="0" header="0" footer="0"/>
      <headerFooter alignWithMargins="0"/>
    </customSheetView>
    <customSheetView guid="{F784130D-F647-4ABA-8943-C79CA5B0FDC4}" scale="85" hiddenColumns="1">
      <selection activeCell="A4" sqref="A4:A6"/>
      <pageMargins left="0" right="0" top="0" bottom="0" header="0" footer="0"/>
      <headerFooter alignWithMargins="0"/>
    </customSheetView>
    <customSheetView guid="{1E5198E1-BA46-4CE0-8628-4F695B0D7A3B}" scale="85" hiddenColumns="1" topLeftCell="K1">
      <selection activeCell="W14" sqref="W14"/>
      <pageMargins left="0" right="0" top="0" bottom="0" header="0" footer="0"/>
      <headerFooter alignWithMargins="0"/>
    </customSheetView>
    <customSheetView guid="{455630F5-40FC-47DB-8AD4-712C20B8FB91}" scale="85" hiddenColumns="1" topLeftCell="AG6">
      <selection activeCell="AN15" sqref="AN15"/>
      <pageMargins left="0" right="0" top="0" bottom="0" header="0" footer="0"/>
      <pageSetup orientation="portrait" r:id="rId1"/>
      <headerFooter alignWithMargins="0"/>
    </customSheetView>
    <customSheetView guid="{9D4F0482-B164-4671-805A-E0D2D4DD4720}" scale="85" hiddenColumns="1" topLeftCell="K1">
      <selection activeCell="W14" sqref="W14"/>
      <pageMargins left="0" right="0" top="0" bottom="0" header="0" footer="0"/>
      <headerFooter alignWithMargins="0"/>
    </customSheetView>
    <customSheetView guid="{567C3053-2D8E-4705-8DC7-18896C5303CA}" scale="85" showPageBreaks="1" hiddenColumns="1" topLeftCell="AI7">
      <selection activeCell="AP11" sqref="AP11"/>
      <pageMargins left="0" right="0" top="0" bottom="0" header="0" footer="0"/>
      <pageSetup orientation="portrait" r:id="rId2"/>
      <headerFooter alignWithMargins="0"/>
    </customSheetView>
    <customSheetView guid="{7A9890A5-7CC2-466F-AA52-39E8D428DC1C}" scale="85" hiddenColumns="1">
      <pageMargins left="0" right="0" top="0" bottom="0" header="0" footer="0"/>
      <pageSetup orientation="portrait" r:id="rId3"/>
      <headerFooter alignWithMargins="0"/>
    </customSheetView>
    <customSheetView guid="{CBA65C9F-528B-4CA5-AFDD-C38CD40775BB}" scale="85" hiddenColumns="1" topLeftCell="K1">
      <selection activeCell="W14" sqref="W14"/>
      <pageMargins left="0" right="0" top="0" bottom="0" header="0" footer="0"/>
      <headerFooter alignWithMargins="0"/>
    </customSheetView>
    <customSheetView guid="{78CA186D-B240-44D5-8A24-D241DE0B0FD9}" scale="85" topLeftCell="AL1">
      <selection activeCell="AS5" sqref="AS5"/>
      <pageMargins left="0" right="0" top="0" bottom="0" header="0" footer="0"/>
      <headerFooter alignWithMargins="0"/>
    </customSheetView>
    <customSheetView guid="{5102CD51-6323-4C0C-991F-AF8276ECBB13}" scale="85" topLeftCell="AL1">
      <selection activeCell="AS5" sqref="AS5"/>
      <pageMargins left="0.75" right="0.75" top="1" bottom="1" header="0.5" footer="0.5"/>
      <headerFooter alignWithMargins="0"/>
    </customSheetView>
    <customSheetView guid="{FF124C4D-20DF-4C1B-B072-A9ABB2F1106A}" scale="85" topLeftCell="AE6">
      <selection activeCell="AN11" sqref="AN11"/>
      <pageMargins left="0" right="0" top="0" bottom="0" header="0" footer="0"/>
      <headerFooter alignWithMargins="0"/>
    </customSheetView>
    <customSheetView guid="{50528D02-548E-47E0-94D7-D1E79CD3569C}" scale="85" topLeftCell="AE6">
      <selection activeCell="AN11" sqref="AN11"/>
      <pageMargins left="0" right="0" top="0" bottom="0" header="0" footer="0"/>
      <headerFooter alignWithMargins="0"/>
    </customSheetView>
  </customSheetViews>
  <mergeCells count="11">
    <mergeCell ref="AV3:AV4"/>
    <mergeCell ref="AW3:AX3"/>
    <mergeCell ref="AP3:AP4"/>
    <mergeCell ref="AS3:AS4"/>
    <mergeCell ref="AT3:AU3"/>
    <mergeCell ref="AQ3:AR3"/>
    <mergeCell ref="M3:N3"/>
    <mergeCell ref="P3:Q3"/>
    <mergeCell ref="S3:T3"/>
    <mergeCell ref="V3:W3"/>
    <mergeCell ref="Y3:Z3"/>
  </mergeCells>
  <phoneticPr fontId="9" type="noConversion"/>
  <pageMargins left="0" right="0" top="0" bottom="0" header="0" footer="0"/>
  <headerFooter alignWithMargins="0"/>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IL271"/>
  <sheetViews>
    <sheetView topLeftCell="A4" zoomScale="85" zoomScaleNormal="100" workbookViewId="0">
      <pane xSplit="1" ySplit="2" topLeftCell="CI51" activePane="bottomRight" state="frozen"/>
      <selection activeCell="A4" sqref="A4"/>
      <selection pane="topRight" activeCell="B4" sqref="B4"/>
      <selection pane="bottomLeft" activeCell="A6" sqref="A6"/>
      <selection pane="bottomRight" activeCell="A59" sqref="A59"/>
    </sheetView>
  </sheetViews>
  <sheetFormatPr defaultColWidth="8.7109375" defaultRowHeight="18" customHeight="1" x14ac:dyDescent="0.25"/>
  <cols>
    <col min="1" max="1" width="63.85546875" style="66" customWidth="1"/>
    <col min="2" max="2" width="13" style="66" customWidth="1"/>
    <col min="3" max="3" width="13.28515625" style="66" customWidth="1"/>
    <col min="4" max="4" width="12.140625" style="66" customWidth="1"/>
    <col min="5" max="5" width="13.140625" style="199" customWidth="1"/>
    <col min="6" max="6" width="12" style="66" customWidth="1"/>
    <col min="7" max="7" width="14.28515625" style="66" customWidth="1"/>
    <col min="8" max="8" width="15.28515625" style="199" customWidth="1"/>
    <col min="9" max="9" width="13.7109375" style="66" bestFit="1" customWidth="1"/>
    <col min="10" max="10" width="13.7109375" style="66" customWidth="1"/>
    <col min="11" max="11" width="13.7109375" style="199" customWidth="1"/>
    <col min="12" max="12" width="11.42578125" style="66" customWidth="1"/>
    <col min="13" max="13" width="10.85546875" style="66" customWidth="1"/>
    <col min="14" max="14" width="8.7109375" style="199" customWidth="1"/>
    <col min="15" max="15" width="12" style="66" customWidth="1"/>
    <col min="16" max="16" width="9.85546875" style="66" customWidth="1"/>
    <col min="17" max="17" width="9.140625" style="66" customWidth="1"/>
    <col min="18" max="18" width="11.28515625" style="66" customWidth="1"/>
    <col min="19" max="19" width="10" style="66" customWidth="1"/>
    <col min="20" max="20" width="8.7109375" style="66" customWidth="1"/>
    <col min="21" max="21" width="11.42578125" style="66" customWidth="1"/>
    <col min="22" max="22" width="9.7109375" style="66" customWidth="1"/>
    <col min="23" max="23" width="7.85546875" style="66" customWidth="1"/>
    <col min="24" max="24" width="13.7109375" style="201" customWidth="1"/>
    <col min="25" max="25" width="12.28515625" style="202" customWidth="1"/>
    <col min="26" max="26" width="10.42578125" style="484" customWidth="1"/>
    <col min="27" max="27" width="13.5703125" style="203" customWidth="1"/>
    <col min="28" max="28" width="12.7109375" style="204" customWidth="1"/>
    <col min="29" max="29" width="12" style="205" customWidth="1"/>
    <col min="30" max="30" width="53.5703125" style="66" customWidth="1"/>
    <col min="31" max="31" width="47" style="66" customWidth="1"/>
    <col min="32" max="33" width="13.140625" style="204" customWidth="1"/>
    <col min="34" max="34" width="13.140625" style="66" customWidth="1"/>
    <col min="35" max="36" width="13.85546875" style="66" customWidth="1"/>
    <col min="37" max="37" width="10.5703125" style="66" customWidth="1"/>
    <col min="38" max="38" width="16.140625" style="66" customWidth="1"/>
    <col min="39" max="39" width="12.28515625" style="66" customWidth="1"/>
    <col min="40" max="40" width="14.7109375" style="66" customWidth="1"/>
    <col min="41" max="43" width="13.5703125" style="66" customWidth="1"/>
    <col min="44" max="44" width="15.140625" style="66" customWidth="1"/>
    <col min="45" max="45" width="13.5703125" style="66" customWidth="1"/>
    <col min="46" max="46" width="17.5703125" style="66" customWidth="1"/>
    <col min="47" max="47" width="14.42578125" style="66" customWidth="1"/>
    <col min="48" max="48" width="13.28515625" style="66" customWidth="1"/>
    <col min="49" max="49" width="23" style="66" customWidth="1"/>
    <col min="50" max="50" width="13.140625" style="204" customWidth="1"/>
    <col min="51" max="51" width="12.5703125" style="204" customWidth="1"/>
    <col min="52" max="53" width="12.7109375" style="304" customWidth="1"/>
    <col min="54" max="54" width="16" style="304" customWidth="1"/>
    <col min="55" max="56" width="12.7109375" style="304" customWidth="1"/>
    <col min="57" max="57" width="13.140625" style="204" customWidth="1"/>
    <col min="58" max="58" width="13.7109375" style="204" customWidth="1"/>
    <col min="59" max="63" width="11.85546875" style="304" customWidth="1"/>
    <col min="64" max="64" width="21.28515625" style="66" customWidth="1"/>
    <col min="65" max="68" width="13.28515625" style="66" customWidth="1"/>
    <col min="69" max="69" width="12.5703125" style="66" customWidth="1"/>
    <col min="70" max="70" width="19.85546875" style="206" customWidth="1"/>
    <col min="71" max="71" width="15.140625" style="206" customWidth="1"/>
    <col min="72" max="72" width="9.28515625" style="66" customWidth="1"/>
    <col min="73" max="73" width="10.42578125" style="66" customWidth="1"/>
    <col min="74" max="74" width="13.140625" style="66" customWidth="1"/>
    <col min="75" max="75" width="21.28515625" style="66" customWidth="1"/>
    <col min="76" max="76" width="12.140625" style="66" customWidth="1"/>
    <col min="77" max="78" width="15.140625" style="66" customWidth="1"/>
    <col min="79" max="79" width="14" style="66" customWidth="1"/>
    <col min="80" max="80" width="13.85546875" style="66" customWidth="1"/>
    <col min="81" max="84" width="15.140625" style="66" customWidth="1"/>
    <col min="85" max="86" width="15.5703125" style="66" customWidth="1"/>
    <col min="87" max="89" width="16.28515625" style="66" customWidth="1"/>
    <col min="90" max="90" width="15.140625" style="66" customWidth="1"/>
    <col min="91" max="91" width="18.85546875" style="66" customWidth="1"/>
    <col min="92" max="92" width="16.140625" style="66" customWidth="1"/>
    <col min="93" max="93" width="19" style="66" customWidth="1"/>
    <col min="94" max="94" width="17.7109375" style="66" customWidth="1"/>
    <col min="95" max="246" width="47" style="66" bestFit="1" customWidth="1"/>
    <col min="247" max="16384" width="8.7109375" style="66"/>
  </cols>
  <sheetData>
    <row r="1" spans="1:94" ht="15.75" thickBot="1" x14ac:dyDescent="0.3">
      <c r="A1" s="148" t="s">
        <v>73</v>
      </c>
      <c r="B1" s="148"/>
      <c r="C1" s="148"/>
      <c r="D1" s="148"/>
      <c r="E1" s="362"/>
      <c r="F1" s="148"/>
      <c r="G1" s="148"/>
      <c r="H1" s="362"/>
      <c r="I1" s="148"/>
      <c r="J1" s="148"/>
      <c r="K1" s="362"/>
      <c r="L1" s="148"/>
      <c r="M1" s="148"/>
      <c r="N1" s="362"/>
      <c r="O1" s="148"/>
      <c r="P1" s="148"/>
      <c r="Q1" s="148"/>
      <c r="R1" s="148"/>
      <c r="S1" s="148"/>
      <c r="T1" s="148"/>
      <c r="U1" s="148"/>
      <c r="V1" s="148"/>
      <c r="W1" s="148"/>
      <c r="AB1" s="203"/>
      <c r="AC1" s="485"/>
      <c r="AD1" s="148"/>
      <c r="AE1" s="148"/>
      <c r="AF1" s="203"/>
      <c r="AG1" s="203"/>
      <c r="AH1" s="148"/>
      <c r="AI1" s="148"/>
      <c r="AJ1" s="148"/>
      <c r="AK1" s="148"/>
      <c r="AL1" s="148"/>
      <c r="AM1" s="148"/>
      <c r="AN1" s="148"/>
      <c r="AO1" s="148"/>
      <c r="AP1" s="148"/>
      <c r="AQ1" s="148"/>
      <c r="AR1" s="148"/>
      <c r="AS1" s="148"/>
      <c r="AT1" s="148"/>
      <c r="AU1" s="148"/>
      <c r="AV1" s="148"/>
      <c r="AW1" s="148"/>
      <c r="AX1" s="203"/>
      <c r="AY1" s="203"/>
      <c r="AZ1" s="397"/>
      <c r="BA1" s="397"/>
      <c r="BB1" s="397"/>
      <c r="BC1" s="397"/>
      <c r="BD1" s="397"/>
      <c r="BE1" s="203"/>
      <c r="BO1" s="486" t="s">
        <v>74</v>
      </c>
    </row>
    <row r="2" spans="1:94" ht="24" customHeight="1" thickBot="1" x14ac:dyDescent="0.3">
      <c r="A2" s="68" t="s">
        <v>75</v>
      </c>
      <c r="B2" s="148"/>
      <c r="C2" s="148"/>
      <c r="D2" s="148"/>
      <c r="E2" s="362"/>
      <c r="F2" s="148"/>
      <c r="G2" s="148"/>
      <c r="H2" s="362"/>
      <c r="I2" s="148"/>
      <c r="J2" s="148"/>
      <c r="K2" s="362"/>
      <c r="L2" s="148"/>
      <c r="M2" s="148"/>
      <c r="N2" s="362"/>
      <c r="O2" s="148"/>
      <c r="P2" s="148"/>
      <c r="Q2" s="148"/>
      <c r="R2" s="203"/>
      <c r="S2" s="148"/>
      <c r="T2" s="148"/>
      <c r="U2" s="148"/>
      <c r="V2" s="148"/>
      <c r="W2" s="148"/>
      <c r="AB2" s="203"/>
      <c r="AC2" s="485"/>
      <c r="AD2" s="148"/>
      <c r="AE2" s="148"/>
      <c r="AF2" s="203"/>
      <c r="AG2" s="203"/>
      <c r="AH2" s="148"/>
      <c r="AI2" s="148"/>
      <c r="AJ2" s="148"/>
      <c r="AK2" s="148"/>
      <c r="AL2" s="148"/>
      <c r="AM2" s="148"/>
      <c r="AN2" s="148"/>
      <c r="AO2" s="148"/>
      <c r="AP2" s="148"/>
      <c r="AQ2" s="148"/>
      <c r="AR2" s="148"/>
      <c r="AS2" s="148"/>
      <c r="AT2" s="148"/>
      <c r="AU2" s="148"/>
      <c r="AV2" s="148"/>
      <c r="AW2" s="148"/>
      <c r="AX2" s="203"/>
      <c r="AY2" s="203"/>
      <c r="AZ2" s="397"/>
      <c r="BA2" s="397"/>
      <c r="BB2" s="397"/>
      <c r="BC2" s="397"/>
      <c r="BD2" s="397"/>
      <c r="BE2" s="203"/>
      <c r="BO2" s="486" t="s">
        <v>76</v>
      </c>
    </row>
    <row r="3" spans="1:94" ht="15.75" thickBot="1" x14ac:dyDescent="0.3">
      <c r="A3" s="148"/>
      <c r="B3" s="148"/>
      <c r="C3" s="148"/>
      <c r="D3" s="148"/>
      <c r="E3" s="362"/>
      <c r="F3" s="148"/>
      <c r="G3" s="148"/>
      <c r="H3" s="362"/>
      <c r="I3" s="148"/>
      <c r="J3" s="148"/>
      <c r="K3" s="362"/>
      <c r="L3" s="325"/>
      <c r="M3" s="325"/>
      <c r="N3" s="429"/>
      <c r="O3" s="325"/>
      <c r="P3" s="325"/>
      <c r="Q3" s="325"/>
      <c r="R3" s="325"/>
      <c r="S3" s="148"/>
      <c r="T3" s="148"/>
      <c r="U3" s="325"/>
      <c r="V3" s="148"/>
      <c r="W3" s="148"/>
      <c r="AB3" s="203"/>
      <c r="AC3" s="485"/>
      <c r="AD3" s="148"/>
      <c r="AE3" s="148"/>
      <c r="AF3" s="203"/>
      <c r="AG3" s="203"/>
      <c r="AH3" s="148"/>
      <c r="AI3" s="148"/>
      <c r="AJ3" s="148"/>
      <c r="AK3" s="148"/>
      <c r="AL3" s="148"/>
      <c r="AM3" s="148"/>
      <c r="AN3" s="148"/>
      <c r="AO3" s="148"/>
      <c r="AP3" s="148"/>
      <c r="AQ3" s="148"/>
      <c r="AR3" s="148"/>
      <c r="AS3" s="148"/>
      <c r="AT3" s="148"/>
      <c r="AU3" s="148"/>
      <c r="AV3" s="148"/>
      <c r="AW3" s="148"/>
      <c r="AX3" s="203"/>
      <c r="AY3" s="203"/>
      <c r="AZ3" s="397"/>
      <c r="BA3" s="397"/>
      <c r="BB3" s="397"/>
      <c r="BC3" s="397"/>
      <c r="BD3" s="397"/>
      <c r="BE3" s="203"/>
      <c r="BO3" s="296"/>
      <c r="CI3" s="487"/>
      <c r="CJ3" s="487"/>
      <c r="CK3" s="487"/>
      <c r="CL3" s="487"/>
      <c r="CM3" s="487"/>
    </row>
    <row r="4" spans="1:94" ht="18" customHeight="1" thickBot="1" x14ac:dyDescent="0.3">
      <c r="A4" s="488"/>
      <c r="B4" s="489" t="s">
        <v>22</v>
      </c>
      <c r="C4" s="490" t="s">
        <v>23</v>
      </c>
      <c r="D4" s="491" t="s">
        <v>77</v>
      </c>
      <c r="E4" s="492"/>
      <c r="F4" s="493" t="s">
        <v>25</v>
      </c>
      <c r="G4" s="774" t="s">
        <v>78</v>
      </c>
      <c r="H4" s="494"/>
      <c r="I4" s="490" t="s">
        <v>27</v>
      </c>
      <c r="J4" s="491" t="s">
        <v>79</v>
      </c>
      <c r="K4" s="492"/>
      <c r="L4" s="493" t="s">
        <v>29</v>
      </c>
      <c r="M4" s="821" t="s">
        <v>30</v>
      </c>
      <c r="N4" s="823"/>
      <c r="O4" s="490" t="s">
        <v>31</v>
      </c>
      <c r="P4" s="821" t="s">
        <v>32</v>
      </c>
      <c r="Q4" s="823"/>
      <c r="R4" s="495" t="s">
        <v>80</v>
      </c>
      <c r="S4" s="821" t="s">
        <v>81</v>
      </c>
      <c r="T4" s="823"/>
      <c r="U4" s="496" t="s">
        <v>35</v>
      </c>
      <c r="V4" s="821" t="s">
        <v>36</v>
      </c>
      <c r="W4" s="823"/>
      <c r="X4" s="497" t="s">
        <v>37</v>
      </c>
      <c r="Y4" s="824" t="s">
        <v>82</v>
      </c>
      <c r="Z4" s="825"/>
      <c r="AA4" s="498" t="s">
        <v>83</v>
      </c>
      <c r="AB4" s="821" t="s">
        <v>84</v>
      </c>
      <c r="AC4" s="822"/>
      <c r="AD4" s="499" t="s">
        <v>85</v>
      </c>
      <c r="AE4" s="499" t="s">
        <v>85</v>
      </c>
      <c r="AF4" s="500" t="s">
        <v>85</v>
      </c>
      <c r="AG4" s="501" t="s">
        <v>86</v>
      </c>
      <c r="AH4" s="775"/>
      <c r="AI4" s="491" t="s">
        <v>85</v>
      </c>
      <c r="AJ4" s="502" t="s">
        <v>85</v>
      </c>
      <c r="AK4" s="491" t="s">
        <v>87</v>
      </c>
      <c r="AL4" s="502" t="s">
        <v>87</v>
      </c>
      <c r="AM4" s="223" t="s">
        <v>87</v>
      </c>
      <c r="AN4" s="223" t="s">
        <v>87</v>
      </c>
      <c r="AO4" s="223" t="s">
        <v>87</v>
      </c>
      <c r="AP4" s="503" t="s">
        <v>87</v>
      </c>
      <c r="AQ4" s="491" t="s">
        <v>87</v>
      </c>
      <c r="AR4" s="503" t="s">
        <v>87</v>
      </c>
      <c r="AS4" s="491" t="s">
        <v>87</v>
      </c>
      <c r="AT4" s="502" t="s">
        <v>88</v>
      </c>
      <c r="AU4" s="144"/>
      <c r="AV4" s="148"/>
      <c r="AW4" s="148"/>
      <c r="AX4" s="275" t="s">
        <v>87</v>
      </c>
      <c r="AY4" s="501" t="s">
        <v>89</v>
      </c>
      <c r="AZ4" s="504"/>
      <c r="BA4" s="275" t="s">
        <v>87</v>
      </c>
      <c r="BB4" s="505" t="s">
        <v>87</v>
      </c>
      <c r="BC4" s="275" t="s">
        <v>87</v>
      </c>
      <c r="BD4" s="275"/>
      <c r="BE4" s="500" t="s">
        <v>45</v>
      </c>
      <c r="BF4" s="506" t="s">
        <v>90</v>
      </c>
      <c r="BG4" s="507"/>
      <c r="BH4" s="508" t="s">
        <v>45</v>
      </c>
      <c r="BI4" s="509" t="s">
        <v>45</v>
      </c>
      <c r="BJ4" s="510" t="s">
        <v>45</v>
      </c>
      <c r="BK4" s="509" t="s">
        <v>45</v>
      </c>
      <c r="BL4" s="511" t="s">
        <v>45</v>
      </c>
      <c r="BM4" s="512" t="s">
        <v>91</v>
      </c>
      <c r="BN4" s="513" t="s">
        <v>74</v>
      </c>
      <c r="BO4" s="486" t="s">
        <v>74</v>
      </c>
      <c r="BP4" s="514" t="s">
        <v>92</v>
      </c>
      <c r="BQ4" s="515"/>
      <c r="BR4" s="516"/>
      <c r="BS4" s="486" t="s">
        <v>74</v>
      </c>
      <c r="BT4" s="517" t="s">
        <v>74</v>
      </c>
      <c r="BU4" s="518" t="s">
        <v>74</v>
      </c>
      <c r="BV4" s="517" t="s">
        <v>74</v>
      </c>
      <c r="BW4" s="519" t="s">
        <v>74</v>
      </c>
      <c r="BX4" s="520" t="s">
        <v>74</v>
      </c>
      <c r="BY4" s="520" t="s">
        <v>74</v>
      </c>
      <c r="BZ4" s="520" t="s">
        <v>74</v>
      </c>
      <c r="CA4" s="521" t="s">
        <v>93</v>
      </c>
      <c r="CB4" s="522"/>
      <c r="CC4" s="523" t="s">
        <v>94</v>
      </c>
      <c r="CD4" s="523" t="s">
        <v>94</v>
      </c>
      <c r="CE4" s="523" t="s">
        <v>94</v>
      </c>
      <c r="CF4" s="523" t="s">
        <v>94</v>
      </c>
      <c r="CG4" s="524" t="s">
        <v>95</v>
      </c>
      <c r="CH4" s="525"/>
      <c r="CI4" s="526" t="s">
        <v>96</v>
      </c>
      <c r="CJ4" s="772" t="s">
        <v>96</v>
      </c>
      <c r="CK4" s="772" t="s">
        <v>96</v>
      </c>
      <c r="CL4" s="819" t="s">
        <v>97</v>
      </c>
      <c r="CM4" s="820"/>
      <c r="CN4" s="748" t="s">
        <v>98</v>
      </c>
      <c r="CO4" s="817" t="s">
        <v>99</v>
      </c>
      <c r="CP4" s="818"/>
    </row>
    <row r="5" spans="1:94" ht="46.5" customHeight="1" thickBot="1" x14ac:dyDescent="0.3">
      <c r="A5" s="527" t="s">
        <v>55</v>
      </c>
      <c r="B5" s="528" t="s">
        <v>100</v>
      </c>
      <c r="C5" s="529" t="s">
        <v>56</v>
      </c>
      <c r="D5" s="530" t="s">
        <v>57</v>
      </c>
      <c r="E5" s="531" t="s">
        <v>58</v>
      </c>
      <c r="F5" s="528" t="s">
        <v>100</v>
      </c>
      <c r="G5" s="530" t="s">
        <v>57</v>
      </c>
      <c r="H5" s="531" t="s">
        <v>58</v>
      </c>
      <c r="I5" s="529" t="s">
        <v>56</v>
      </c>
      <c r="J5" s="530" t="s">
        <v>57</v>
      </c>
      <c r="K5" s="531" t="s">
        <v>58</v>
      </c>
      <c r="L5" s="493" t="s">
        <v>56</v>
      </c>
      <c r="M5" s="530" t="s">
        <v>57</v>
      </c>
      <c r="N5" s="531" t="s">
        <v>58</v>
      </c>
      <c r="O5" s="490" t="s">
        <v>56</v>
      </c>
      <c r="P5" s="530" t="s">
        <v>57</v>
      </c>
      <c r="Q5" s="224" t="s">
        <v>58</v>
      </c>
      <c r="R5" s="495" t="s">
        <v>56</v>
      </c>
      <c r="S5" s="532" t="s">
        <v>57</v>
      </c>
      <c r="T5" s="531" t="s">
        <v>58</v>
      </c>
      <c r="U5" s="496" t="s">
        <v>56</v>
      </c>
      <c r="V5" s="530" t="s">
        <v>57</v>
      </c>
      <c r="W5" s="531" t="s">
        <v>58</v>
      </c>
      <c r="X5" s="495" t="s">
        <v>56</v>
      </c>
      <c r="Y5" s="275" t="s">
        <v>57</v>
      </c>
      <c r="Z5" s="276" t="s">
        <v>58</v>
      </c>
      <c r="AA5" s="533" t="s">
        <v>56</v>
      </c>
      <c r="AB5" s="534" t="s">
        <v>57</v>
      </c>
      <c r="AC5" s="535" t="s">
        <v>58</v>
      </c>
      <c r="AD5" s="536" t="s">
        <v>101</v>
      </c>
      <c r="AE5" s="536" t="s">
        <v>102</v>
      </c>
      <c r="AF5" s="537" t="s">
        <v>56</v>
      </c>
      <c r="AG5" s="534" t="s">
        <v>57</v>
      </c>
      <c r="AH5" s="535" t="s">
        <v>58</v>
      </c>
      <c r="AI5" s="538" t="s">
        <v>103</v>
      </c>
      <c r="AJ5" s="539" t="s">
        <v>104</v>
      </c>
      <c r="AK5" s="264" t="s">
        <v>105</v>
      </c>
      <c r="AL5" s="261" t="s">
        <v>106</v>
      </c>
      <c r="AM5" s="261" t="s">
        <v>107</v>
      </c>
      <c r="AN5" s="262" t="s">
        <v>108</v>
      </c>
      <c r="AO5" s="264" t="s">
        <v>109</v>
      </c>
      <c r="AP5" s="261" t="s">
        <v>110</v>
      </c>
      <c r="AQ5" s="264" t="s">
        <v>111</v>
      </c>
      <c r="AR5" s="262" t="s">
        <v>112</v>
      </c>
      <c r="AS5" s="264" t="s">
        <v>113</v>
      </c>
      <c r="AT5" s="262" t="s">
        <v>57</v>
      </c>
      <c r="AU5" s="264" t="s">
        <v>114</v>
      </c>
      <c r="AV5" s="539" t="s">
        <v>115</v>
      </c>
      <c r="AW5" s="540" t="s">
        <v>116</v>
      </c>
      <c r="AX5" s="541" t="s">
        <v>76</v>
      </c>
      <c r="AY5" s="534" t="s">
        <v>57</v>
      </c>
      <c r="AZ5" s="542" t="s">
        <v>58</v>
      </c>
      <c r="BA5" s="542" t="s">
        <v>117</v>
      </c>
      <c r="BB5" s="543" t="s">
        <v>56</v>
      </c>
      <c r="BC5" s="542" t="s">
        <v>118</v>
      </c>
      <c r="BD5" s="542" t="s">
        <v>119</v>
      </c>
      <c r="BE5" s="537" t="s">
        <v>56</v>
      </c>
      <c r="BF5" s="544" t="s">
        <v>57</v>
      </c>
      <c r="BG5" s="545" t="s">
        <v>58</v>
      </c>
      <c r="BH5" s="508" t="s">
        <v>110</v>
      </c>
      <c r="BI5" s="546" t="s">
        <v>120</v>
      </c>
      <c r="BJ5" s="547" t="s">
        <v>121</v>
      </c>
      <c r="BK5" s="546" t="s">
        <v>122</v>
      </c>
      <c r="BL5" s="548" t="s">
        <v>123</v>
      </c>
      <c r="BM5" s="549" t="s">
        <v>57</v>
      </c>
      <c r="BN5" s="513" t="s">
        <v>124</v>
      </c>
      <c r="BO5" s="486" t="s">
        <v>76</v>
      </c>
      <c r="BP5" s="550" t="s">
        <v>57</v>
      </c>
      <c r="BQ5" s="551" t="s">
        <v>58</v>
      </c>
      <c r="BR5" s="552" t="s">
        <v>58</v>
      </c>
      <c r="BS5" s="486" t="s">
        <v>110</v>
      </c>
      <c r="BT5" s="553" t="s">
        <v>120</v>
      </c>
      <c r="BU5" s="554" t="s">
        <v>121</v>
      </c>
      <c r="BV5" s="553" t="s">
        <v>122</v>
      </c>
      <c r="BW5" s="555" t="s">
        <v>123</v>
      </c>
      <c r="BX5" s="556" t="s">
        <v>76</v>
      </c>
      <c r="BY5" s="556" t="s">
        <v>125</v>
      </c>
      <c r="BZ5" s="556" t="s">
        <v>56</v>
      </c>
      <c r="CA5" s="772" t="s">
        <v>57</v>
      </c>
      <c r="CB5" s="557" t="s">
        <v>58</v>
      </c>
      <c r="CC5" s="523" t="s">
        <v>124</v>
      </c>
      <c r="CD5" s="523" t="s">
        <v>76</v>
      </c>
      <c r="CE5" s="523" t="s">
        <v>125</v>
      </c>
      <c r="CF5" s="558" t="s">
        <v>56</v>
      </c>
      <c r="CG5" s="523" t="s">
        <v>57</v>
      </c>
      <c r="CH5" s="523" t="s">
        <v>58</v>
      </c>
      <c r="CI5" s="493" t="s">
        <v>76</v>
      </c>
      <c r="CJ5" s="493" t="s">
        <v>125</v>
      </c>
      <c r="CK5" s="528" t="s">
        <v>126</v>
      </c>
      <c r="CL5" s="526" t="s">
        <v>57</v>
      </c>
      <c r="CM5" s="773" t="s">
        <v>58</v>
      </c>
      <c r="CN5" s="771" t="s">
        <v>124</v>
      </c>
      <c r="CO5" s="749" t="s">
        <v>57</v>
      </c>
      <c r="CP5" s="748" t="s">
        <v>58</v>
      </c>
    </row>
    <row r="6" spans="1:94" s="289" customFormat="1" ht="15" x14ac:dyDescent="0.25">
      <c r="A6" s="282" t="s">
        <v>59</v>
      </c>
      <c r="E6" s="288"/>
      <c r="H6" s="288"/>
      <c r="K6" s="288"/>
      <c r="L6" s="285"/>
      <c r="M6" s="285"/>
      <c r="N6" s="286"/>
      <c r="O6" s="285"/>
      <c r="P6" s="285"/>
      <c r="Q6" s="285"/>
      <c r="R6" s="287"/>
      <c r="S6" s="287"/>
      <c r="T6" s="288"/>
      <c r="U6" s="288"/>
      <c r="V6" s="288"/>
      <c r="W6" s="288"/>
      <c r="X6" s="291"/>
      <c r="Y6" s="292"/>
      <c r="Z6" s="559"/>
      <c r="AA6" s="292"/>
      <c r="AB6" s="294"/>
      <c r="AC6" s="295"/>
      <c r="AF6" s="287"/>
      <c r="AG6" s="287"/>
      <c r="AX6" s="287"/>
      <c r="AY6" s="287"/>
      <c r="AZ6" s="407"/>
      <c r="BA6" s="407"/>
      <c r="BB6" s="407"/>
      <c r="BC6" s="407"/>
      <c r="BD6" s="407"/>
      <c r="BE6" s="287"/>
      <c r="BF6" s="287"/>
      <c r="BG6" s="407"/>
      <c r="BH6" s="407"/>
      <c r="BI6" s="407"/>
      <c r="BJ6" s="407"/>
      <c r="BK6" s="407"/>
      <c r="BN6" s="296"/>
      <c r="BO6" s="296"/>
      <c r="BS6" s="296"/>
    </row>
    <row r="7" spans="1:94" ht="18" customHeight="1" x14ac:dyDescent="0.25">
      <c r="A7" s="68" t="s">
        <v>127</v>
      </c>
      <c r="B7" s="302">
        <v>10531</v>
      </c>
      <c r="C7" s="302">
        <v>12271</v>
      </c>
      <c r="D7" s="302">
        <f>C7-B7</f>
        <v>1740</v>
      </c>
      <c r="E7" s="303">
        <f>(C7-B7)/B7</f>
        <v>0.16522647421897255</v>
      </c>
      <c r="F7" s="204">
        <v>12525</v>
      </c>
      <c r="G7" s="204">
        <f>F7-C7</f>
        <v>254</v>
      </c>
      <c r="H7" s="199">
        <f>(F7-C7)/F7</f>
        <v>2.0279441117764471E-2</v>
      </c>
      <c r="I7" s="204">
        <v>11397</v>
      </c>
      <c r="J7" s="204">
        <f>I7-F7</f>
        <v>-1128</v>
      </c>
      <c r="K7" s="199">
        <f>(I7-F7)/F7</f>
        <v>-9.0059880239520954E-2</v>
      </c>
      <c r="L7" s="204">
        <v>11819</v>
      </c>
      <c r="M7" s="204">
        <v>422</v>
      </c>
      <c r="N7" s="304">
        <v>3.7027287882776171E-2</v>
      </c>
      <c r="O7" s="204">
        <v>12366</v>
      </c>
      <c r="P7" s="204">
        <f>O7-L7</f>
        <v>547</v>
      </c>
      <c r="Q7" s="304">
        <f t="shared" ref="Q7:Q35" si="0">P7/L7</f>
        <v>4.6281411286910906E-2</v>
      </c>
      <c r="R7" s="204">
        <v>13430</v>
      </c>
      <c r="S7" s="204">
        <f t="shared" ref="S7:S48" si="1">R7-O7</f>
        <v>1064</v>
      </c>
      <c r="T7" s="304">
        <f t="shared" ref="T7:T35" si="2">S7/O7</f>
        <v>8.6042374251981232E-2</v>
      </c>
      <c r="U7" s="204">
        <v>16665</v>
      </c>
      <c r="V7" s="204">
        <f>U7-R7</f>
        <v>3235</v>
      </c>
      <c r="W7" s="304">
        <f>V7/R7</f>
        <v>0.24087862993298587</v>
      </c>
      <c r="X7" s="201">
        <v>18824</v>
      </c>
      <c r="Y7" s="204">
        <f t="shared" ref="Y7:Y21" si="3">X7-U7</f>
        <v>2159</v>
      </c>
      <c r="Z7" s="484">
        <f>Y7/U7</f>
        <v>0.12955295529552954</v>
      </c>
      <c r="AA7" s="203">
        <v>20396</v>
      </c>
      <c r="AB7" s="374">
        <f t="shared" ref="AB7:AB35" si="4">AA7-X7</f>
        <v>1572</v>
      </c>
      <c r="AC7" s="205">
        <f t="shared" ref="AC7:AC13" si="5">AB7/X7</f>
        <v>8.3510412239694007E-2</v>
      </c>
      <c r="AD7" s="200">
        <v>19833</v>
      </c>
      <c r="AE7" s="200"/>
      <c r="AF7" s="204">
        <v>18768</v>
      </c>
      <c r="AG7" s="204">
        <f>AF7-AA7</f>
        <v>-1628</v>
      </c>
      <c r="AH7" s="304">
        <f>AG7/AA7</f>
        <v>-7.9819572465189254E-2</v>
      </c>
      <c r="AI7" s="200">
        <f>19833-133</f>
        <v>19700</v>
      </c>
      <c r="AJ7" s="66">
        <f>19833-133</f>
        <v>19700</v>
      </c>
      <c r="AK7" s="354">
        <v>20211</v>
      </c>
      <c r="AM7" s="204">
        <f>+AL7+AK7</f>
        <v>20211</v>
      </c>
      <c r="AN7" s="66">
        <v>19175</v>
      </c>
      <c r="AO7" s="66">
        <v>19175</v>
      </c>
      <c r="AP7" s="200">
        <v>0</v>
      </c>
      <c r="AQ7" s="200">
        <v>0</v>
      </c>
      <c r="AR7" s="200">
        <f>AP7+AQ7</f>
        <v>0</v>
      </c>
      <c r="AS7" s="204">
        <f>BB7+AR7</f>
        <v>18265.161779999999</v>
      </c>
      <c r="AT7" s="200">
        <f>AS7-AF7</f>
        <v>-502.83822000000146</v>
      </c>
      <c r="AU7" s="205">
        <f>AT7/AF7</f>
        <v>-2.6792317774936139E-2</v>
      </c>
      <c r="AV7" s="200">
        <f t="shared" ref="AV7:AV13" si="6">+AS7-AF7</f>
        <v>-502.83822000000146</v>
      </c>
      <c r="AW7" s="205">
        <f t="shared" ref="AW7:AW13" si="7">+AV7/AF7</f>
        <v>-2.6792317774936139E-2</v>
      </c>
      <c r="AX7" s="204">
        <v>19225</v>
      </c>
      <c r="AY7" s="204">
        <f>AX7-AF7</f>
        <v>457</v>
      </c>
      <c r="AZ7" s="304">
        <f>AY7/AF7</f>
        <v>2.434995737425405E-2</v>
      </c>
      <c r="BA7" s="560">
        <v>18265.161779999999</v>
      </c>
      <c r="BB7" s="560">
        <v>18265.161779999999</v>
      </c>
      <c r="BC7" s="560">
        <f>BA7-BB7</f>
        <v>0</v>
      </c>
      <c r="BD7" s="304">
        <f>BC7/BA7</f>
        <v>0</v>
      </c>
      <c r="BE7" s="204">
        <v>18542</v>
      </c>
      <c r="BF7" s="204">
        <f>BE7-AX7</f>
        <v>-683</v>
      </c>
      <c r="BG7" s="304">
        <f>BF7/AX7</f>
        <v>-3.5526657997399222E-2</v>
      </c>
      <c r="BH7" s="200">
        <v>0</v>
      </c>
      <c r="BI7" s="200"/>
      <c r="BJ7" s="200"/>
      <c r="BK7" s="200"/>
      <c r="BL7" s="206">
        <f>BE7+BH7+BI7+BJ7+BK7</f>
        <v>18542</v>
      </c>
      <c r="BM7" s="206">
        <f>BL7-AS7</f>
        <v>276.83822000000146</v>
      </c>
      <c r="BN7" s="206">
        <v>21007</v>
      </c>
      <c r="BO7" s="561">
        <v>21007</v>
      </c>
      <c r="BP7" s="206">
        <f>BO7-BE7</f>
        <v>2465</v>
      </c>
      <c r="BQ7" s="199">
        <f t="shared" ref="BQ7:BQ39" si="8">BM7/AS7</f>
        <v>1.515662567539555E-2</v>
      </c>
      <c r="BR7" s="205">
        <f>BP7/BE7</f>
        <v>0.13294143026642219</v>
      </c>
      <c r="BS7" s="206">
        <v>5.5339999999999998</v>
      </c>
      <c r="BV7" s="206">
        <v>4.569</v>
      </c>
      <c r="BW7" s="207">
        <f t="shared" ref="BW7:BW13" si="9">BN7+BS7+BT7+BU7+BV7</f>
        <v>21017.102999999999</v>
      </c>
      <c r="BX7" s="206">
        <v>21007</v>
      </c>
      <c r="BY7" s="206"/>
      <c r="BZ7" s="206">
        <v>19335</v>
      </c>
      <c r="CA7" s="206">
        <f>BZ7-BE7</f>
        <v>793</v>
      </c>
      <c r="CB7" s="199">
        <f>CA7/BE7</f>
        <v>4.2767770467047786E-2</v>
      </c>
      <c r="CC7" s="206">
        <f>20957+50</f>
        <v>21007</v>
      </c>
      <c r="CD7" s="206">
        <v>20957</v>
      </c>
      <c r="CE7" s="206">
        <v>200</v>
      </c>
      <c r="CF7" s="206">
        <v>19745</v>
      </c>
      <c r="CG7" s="206">
        <f>CF7-BZ7</f>
        <v>410</v>
      </c>
      <c r="CH7" s="304">
        <f>CG7/BZ7</f>
        <v>2.1205068528575122E-2</v>
      </c>
      <c r="CI7" s="206">
        <f>22505</f>
        <v>22505</v>
      </c>
      <c r="CJ7" s="206"/>
      <c r="CK7" s="206">
        <f t="shared" ref="CK7:CK47" si="10">CI7+CJ7</f>
        <v>22505</v>
      </c>
      <c r="CL7" s="206">
        <f>CK7-CF7</f>
        <v>2760</v>
      </c>
      <c r="CM7" s="562">
        <f t="shared" ref="CM7:CM32" si="11">CL7/CF7</f>
        <v>0.13978222334768295</v>
      </c>
      <c r="CN7" s="17">
        <v>22321</v>
      </c>
      <c r="CO7" s="206">
        <f>CN7-CK7</f>
        <v>-184</v>
      </c>
      <c r="CP7" s="199">
        <f>CO7/CK7</f>
        <v>-8.1759608975783167E-3</v>
      </c>
    </row>
    <row r="8" spans="1:94" ht="18" customHeight="1" x14ac:dyDescent="0.25">
      <c r="A8" s="68" t="s">
        <v>128</v>
      </c>
      <c r="B8" s="302">
        <v>1049</v>
      </c>
      <c r="C8" s="302">
        <v>1274</v>
      </c>
      <c r="D8" s="302">
        <f t="shared" ref="D8:D35" si="12">C8-B8</f>
        <v>225</v>
      </c>
      <c r="E8" s="303">
        <f t="shared" ref="E8:E48" si="13">(C8-B8)/B8</f>
        <v>0.21448999046711154</v>
      </c>
      <c r="F8" s="204">
        <v>1283</v>
      </c>
      <c r="G8" s="204">
        <f t="shared" ref="G8:G48" si="14">F8-C8</f>
        <v>9</v>
      </c>
      <c r="H8" s="199">
        <f t="shared" ref="H8:H48" si="15">(F8-C8)/F8</f>
        <v>7.014809041309431E-3</v>
      </c>
      <c r="I8" s="204">
        <v>1429</v>
      </c>
      <c r="J8" s="204">
        <f t="shared" ref="J8:J35" si="16">I8-F8</f>
        <v>146</v>
      </c>
      <c r="K8" s="199">
        <f t="shared" ref="K8:K35" si="17">(I8-F8)/F8</f>
        <v>0.11379579111457522</v>
      </c>
      <c r="L8" s="204">
        <v>1555</v>
      </c>
      <c r="M8" s="204">
        <v>126</v>
      </c>
      <c r="N8" s="304">
        <v>8.8173547935619309E-2</v>
      </c>
      <c r="O8" s="204">
        <v>1663</v>
      </c>
      <c r="P8" s="204">
        <f t="shared" ref="P8:P35" si="18">O8-L8</f>
        <v>108</v>
      </c>
      <c r="Q8" s="304">
        <f t="shared" si="0"/>
        <v>6.9453376205787787E-2</v>
      </c>
      <c r="R8" s="204">
        <v>1928</v>
      </c>
      <c r="S8" s="204">
        <f t="shared" si="1"/>
        <v>265</v>
      </c>
      <c r="T8" s="304">
        <f t="shared" si="2"/>
        <v>0.15935057125676488</v>
      </c>
      <c r="U8" s="204">
        <v>1949</v>
      </c>
      <c r="V8" s="204">
        <f>U8-R8</f>
        <v>21</v>
      </c>
      <c r="W8" s="304">
        <f t="shared" ref="W8:W35" si="19">V8/R8</f>
        <v>1.0892116182572614E-2</v>
      </c>
      <c r="X8" s="201">
        <v>2419</v>
      </c>
      <c r="Y8" s="204">
        <f t="shared" si="3"/>
        <v>470</v>
      </c>
      <c r="Z8" s="484">
        <f>Y8/U8</f>
        <v>0.24114930733709594</v>
      </c>
      <c r="AA8" s="203">
        <v>4036</v>
      </c>
      <c r="AB8" s="374">
        <f t="shared" si="4"/>
        <v>1617</v>
      </c>
      <c r="AC8" s="205">
        <f t="shared" si="5"/>
        <v>0.66845804051260849</v>
      </c>
      <c r="AD8" s="200">
        <v>4119</v>
      </c>
      <c r="AE8" s="200"/>
      <c r="AF8" s="204">
        <v>3858</v>
      </c>
      <c r="AG8" s="204">
        <f t="shared" ref="AG8:AG38" si="20">AF8-AA8</f>
        <v>-178</v>
      </c>
      <c r="AH8" s="304">
        <f t="shared" ref="AH8:AH38" si="21">AG8/AA8</f>
        <v>-4.410307234886026E-2</v>
      </c>
      <c r="AI8" s="200">
        <f>4119-30</f>
        <v>4089</v>
      </c>
      <c r="AJ8" s="66">
        <f>4119-30</f>
        <v>4089</v>
      </c>
      <c r="AK8" s="354">
        <v>4151</v>
      </c>
      <c r="AM8" s="204">
        <f t="shared" ref="AM8:AM48" si="22">+AL8+AK8</f>
        <v>4151</v>
      </c>
      <c r="AN8" s="66">
        <v>3968</v>
      </c>
      <c r="AO8" s="66">
        <v>3968</v>
      </c>
      <c r="AP8" s="200">
        <v>0</v>
      </c>
      <c r="AQ8" s="200">
        <v>0</v>
      </c>
      <c r="AR8" s="200">
        <f t="shared" ref="AR8:AR39" si="23">AP8+AQ8</f>
        <v>0</v>
      </c>
      <c r="AS8" s="204">
        <f t="shared" ref="AS8:AS44" si="24">BB8+AR8</f>
        <v>3435.5985900000001</v>
      </c>
      <c r="AT8" s="200">
        <f t="shared" ref="AT8:AT48" si="25">AS8-AF8</f>
        <v>-422.40140999999994</v>
      </c>
      <c r="AU8" s="205">
        <f t="shared" ref="AU8:AU48" si="26">AT8/AF8</f>
        <v>-0.1094871461897356</v>
      </c>
      <c r="AV8" s="200">
        <f t="shared" si="6"/>
        <v>-422.40140999999994</v>
      </c>
      <c r="AW8" s="205">
        <f t="shared" si="7"/>
        <v>-0.1094871461897356</v>
      </c>
      <c r="AX8" s="204">
        <v>3840</v>
      </c>
      <c r="AY8" s="204">
        <f t="shared" ref="AY8:AY80" si="27">AX8-AF8</f>
        <v>-18</v>
      </c>
      <c r="AZ8" s="304">
        <f t="shared" ref="AZ8:AZ80" si="28">AY8/AF8</f>
        <v>-4.6656298600311046E-3</v>
      </c>
      <c r="BA8" s="560">
        <v>3839.6687700000002</v>
      </c>
      <c r="BB8" s="560">
        <v>3435.5985900000001</v>
      </c>
      <c r="BC8" s="560">
        <f t="shared" ref="BC8:BC44" si="29">BA8-BB8</f>
        <v>404.07018000000016</v>
      </c>
      <c r="BD8" s="304">
        <f t="shared" ref="BD8:BD40" si="30">BC8/BA8</f>
        <v>0.1052356867751382</v>
      </c>
      <c r="BE8" s="204">
        <v>3361</v>
      </c>
      <c r="BF8" s="204">
        <f>BE8-AX8</f>
        <v>-479</v>
      </c>
      <c r="BG8" s="304">
        <f>BF8/AX8</f>
        <v>-0.12473958333333333</v>
      </c>
      <c r="BH8" s="200">
        <v>0</v>
      </c>
      <c r="BI8" s="200"/>
      <c r="BJ8" s="200"/>
      <c r="BK8" s="200">
        <v>1</v>
      </c>
      <c r="BL8" s="206">
        <f t="shared" ref="BL8:BL80" si="31">BE8+BH8+BI8+BJ8+BK8</f>
        <v>3362</v>
      </c>
      <c r="BM8" s="206">
        <f t="shared" ref="BM8:BM39" si="32">BL8-AS8</f>
        <v>-73.598590000000058</v>
      </c>
      <c r="BN8" s="206">
        <v>3751</v>
      </c>
      <c r="BO8" s="561">
        <v>3951</v>
      </c>
      <c r="BP8" s="206">
        <f t="shared" ref="BP8:BP79" si="33">BO8-BE8</f>
        <v>590</v>
      </c>
      <c r="BQ8" s="199">
        <f t="shared" si="8"/>
        <v>-2.1422348412362124E-2</v>
      </c>
      <c r="BR8" s="205">
        <f t="shared" ref="BR8:BR79" si="34">BP8/BE8</f>
        <v>0.17554299315679858</v>
      </c>
      <c r="BS8" s="206">
        <v>569.24900000000002</v>
      </c>
      <c r="BV8" s="206">
        <v>0.67200000000000004</v>
      </c>
      <c r="BW8" s="207">
        <f t="shared" si="9"/>
        <v>4320.9209999999994</v>
      </c>
      <c r="BX8" s="206">
        <v>3951</v>
      </c>
      <c r="BY8" s="206"/>
      <c r="BZ8" s="206">
        <v>4118</v>
      </c>
      <c r="CA8" s="206">
        <f>BZ8-BE8</f>
        <v>757</v>
      </c>
      <c r="CB8" s="199">
        <f>CA8/BE8</f>
        <v>0.22523058613507885</v>
      </c>
      <c r="CC8" s="206">
        <v>4276</v>
      </c>
      <c r="CD8" s="206">
        <v>4276</v>
      </c>
      <c r="CE8" s="206"/>
      <c r="CF8" s="17">
        <v>3763</v>
      </c>
      <c r="CG8" s="206">
        <f t="shared" ref="CG8:CG44" si="35">CF8-BZ8</f>
        <v>-355</v>
      </c>
      <c r="CH8" s="304">
        <f t="shared" ref="CH8:CH48" si="36">CG8/BZ8</f>
        <v>-8.6206896551724144E-2</v>
      </c>
      <c r="CI8" s="206">
        <v>4241</v>
      </c>
      <c r="CJ8" s="206"/>
      <c r="CK8" s="206">
        <f t="shared" si="10"/>
        <v>4241</v>
      </c>
      <c r="CL8" s="206">
        <f t="shared" ref="CL8:CL74" si="37">CK8-CF8</f>
        <v>478</v>
      </c>
      <c r="CM8" s="562">
        <f t="shared" si="11"/>
        <v>0.12702630879617327</v>
      </c>
      <c r="CN8" s="17">
        <v>4340</v>
      </c>
      <c r="CO8" s="206">
        <f t="shared" ref="CO8:CO74" si="38">CN8-CK8</f>
        <v>99</v>
      </c>
      <c r="CP8" s="199">
        <f t="shared" ref="CP8:CP74" si="39">CO8/CK8</f>
        <v>2.334355104928083E-2</v>
      </c>
    </row>
    <row r="9" spans="1:94" ht="18" customHeight="1" x14ac:dyDescent="0.25">
      <c r="A9" s="68" t="s">
        <v>129</v>
      </c>
      <c r="B9" s="302">
        <v>464</v>
      </c>
      <c r="C9" s="302">
        <v>593</v>
      </c>
      <c r="D9" s="302">
        <f t="shared" si="12"/>
        <v>129</v>
      </c>
      <c r="E9" s="303">
        <f t="shared" si="13"/>
        <v>0.27801724137931033</v>
      </c>
      <c r="F9" s="204">
        <v>521</v>
      </c>
      <c r="G9" s="204">
        <f t="shared" si="14"/>
        <v>-72</v>
      </c>
      <c r="H9" s="199">
        <f t="shared" si="15"/>
        <v>-0.13819577735124761</v>
      </c>
      <c r="I9" s="204">
        <v>843</v>
      </c>
      <c r="J9" s="204">
        <f t="shared" si="16"/>
        <v>322</v>
      </c>
      <c r="K9" s="199">
        <f t="shared" si="17"/>
        <v>0.61804222648752394</v>
      </c>
      <c r="L9" s="204">
        <v>779</v>
      </c>
      <c r="M9" s="204">
        <v>-64</v>
      </c>
      <c r="N9" s="304">
        <v>-7.591933570581258E-2</v>
      </c>
      <c r="O9" s="204">
        <v>893</v>
      </c>
      <c r="P9" s="204">
        <f t="shared" si="18"/>
        <v>114</v>
      </c>
      <c r="Q9" s="304">
        <f t="shared" si="0"/>
        <v>0.14634146341463414</v>
      </c>
      <c r="R9" s="204">
        <v>956</v>
      </c>
      <c r="S9" s="204">
        <f t="shared" si="1"/>
        <v>63</v>
      </c>
      <c r="T9" s="304">
        <f t="shared" si="2"/>
        <v>7.0548712206047026E-2</v>
      </c>
      <c r="U9" s="204">
        <v>883</v>
      </c>
      <c r="V9" s="204">
        <f>U9-R9</f>
        <v>-73</v>
      </c>
      <c r="W9" s="304">
        <f t="shared" si="19"/>
        <v>-7.6359832635983269E-2</v>
      </c>
      <c r="X9" s="201">
        <v>945</v>
      </c>
      <c r="Y9" s="204">
        <f t="shared" si="3"/>
        <v>62</v>
      </c>
      <c r="Z9" s="484">
        <f>Y9/U9</f>
        <v>7.0215175537938851E-2</v>
      </c>
      <c r="AA9" s="203">
        <v>1092</v>
      </c>
      <c r="AB9" s="374">
        <f t="shared" si="4"/>
        <v>147</v>
      </c>
      <c r="AC9" s="205">
        <f t="shared" si="5"/>
        <v>0.15555555555555556</v>
      </c>
      <c r="AD9" s="200">
        <v>1001</v>
      </c>
      <c r="AE9" s="200"/>
      <c r="AF9" s="204">
        <v>920</v>
      </c>
      <c r="AG9" s="204">
        <f t="shared" si="20"/>
        <v>-172</v>
      </c>
      <c r="AH9" s="304">
        <f t="shared" si="21"/>
        <v>-0.1575091575091575</v>
      </c>
      <c r="AI9" s="200">
        <f>1001-7</f>
        <v>994</v>
      </c>
      <c r="AJ9" s="66">
        <f>1001-7</f>
        <v>994</v>
      </c>
      <c r="AK9" s="354">
        <v>1023</v>
      </c>
      <c r="AM9" s="204">
        <f t="shared" si="22"/>
        <v>1023</v>
      </c>
      <c r="AN9" s="66">
        <v>962</v>
      </c>
      <c r="AO9" s="66">
        <v>962</v>
      </c>
      <c r="AP9" s="200">
        <v>0</v>
      </c>
      <c r="AQ9" s="200">
        <v>0</v>
      </c>
      <c r="AR9" s="200">
        <f t="shared" si="23"/>
        <v>0</v>
      </c>
      <c r="AS9" s="204">
        <f t="shared" si="24"/>
        <v>833.00954999999999</v>
      </c>
      <c r="AT9" s="200">
        <f t="shared" si="25"/>
        <v>-86.99045000000001</v>
      </c>
      <c r="AU9" s="205">
        <f t="shared" si="26"/>
        <v>-9.4554836956521754E-2</v>
      </c>
      <c r="AV9" s="200">
        <f t="shared" si="6"/>
        <v>-86.99045000000001</v>
      </c>
      <c r="AW9" s="205">
        <f t="shared" si="7"/>
        <v>-9.4554836956521754E-2</v>
      </c>
      <c r="AX9" s="204">
        <v>889</v>
      </c>
      <c r="AY9" s="204">
        <f t="shared" si="27"/>
        <v>-31</v>
      </c>
      <c r="AZ9" s="304">
        <f t="shared" si="28"/>
        <v>-3.3695652173913043E-2</v>
      </c>
      <c r="BA9" s="560">
        <v>889.07561999999996</v>
      </c>
      <c r="BB9" s="560">
        <v>833.00954999999999</v>
      </c>
      <c r="BC9" s="560">
        <f t="shared" si="29"/>
        <v>56.066069999999968</v>
      </c>
      <c r="BD9" s="304">
        <f t="shared" si="30"/>
        <v>6.3061081350987855E-2</v>
      </c>
      <c r="BE9" s="204">
        <v>744</v>
      </c>
      <c r="BF9" s="204">
        <f>BE9-AX9</f>
        <v>-145</v>
      </c>
      <c r="BG9" s="304">
        <f>BF9/AX9</f>
        <v>-0.16310461192350956</v>
      </c>
      <c r="BH9" s="200">
        <v>0</v>
      </c>
      <c r="BI9" s="200"/>
      <c r="BJ9" s="200"/>
      <c r="BK9" s="200"/>
      <c r="BL9" s="206">
        <f t="shared" si="31"/>
        <v>744</v>
      </c>
      <c r="BM9" s="206">
        <f t="shared" si="32"/>
        <v>-89.00954999999999</v>
      </c>
      <c r="BN9" s="206">
        <v>894</v>
      </c>
      <c r="BO9" s="561">
        <v>894</v>
      </c>
      <c r="BP9" s="206">
        <f t="shared" si="33"/>
        <v>150</v>
      </c>
      <c r="BQ9" s="199">
        <f t="shared" si="8"/>
        <v>-0.10685297665554974</v>
      </c>
      <c r="BR9" s="205">
        <f t="shared" si="34"/>
        <v>0.20161290322580644</v>
      </c>
      <c r="BV9" s="206">
        <v>0.25</v>
      </c>
      <c r="BW9" s="207">
        <f t="shared" si="9"/>
        <v>894.25</v>
      </c>
      <c r="BX9" s="206">
        <v>894</v>
      </c>
      <c r="BY9" s="206"/>
      <c r="BZ9" s="206">
        <v>781</v>
      </c>
      <c r="CA9" s="206">
        <f t="shared" ref="CA9:CA79" si="40">BZ9-BE9</f>
        <v>37</v>
      </c>
      <c r="CB9" s="199">
        <f t="shared" ref="CB9:CB48" si="41">CA9/BE9</f>
        <v>4.9731182795698922E-2</v>
      </c>
      <c r="CC9" s="206">
        <v>895</v>
      </c>
      <c r="CD9" s="206">
        <v>902</v>
      </c>
      <c r="CE9" s="206"/>
      <c r="CF9">
        <v>861</v>
      </c>
      <c r="CG9" s="206">
        <f t="shared" si="35"/>
        <v>80</v>
      </c>
      <c r="CH9" s="304">
        <f t="shared" si="36"/>
        <v>0.10243277848911651</v>
      </c>
      <c r="CI9" s="206">
        <v>924</v>
      </c>
      <c r="CJ9" s="206"/>
      <c r="CK9" s="206">
        <f t="shared" si="10"/>
        <v>924</v>
      </c>
      <c r="CL9" s="206">
        <f t="shared" si="37"/>
        <v>63</v>
      </c>
      <c r="CM9" s="562">
        <f t="shared" si="11"/>
        <v>7.3170731707317069E-2</v>
      </c>
      <c r="CN9">
        <v>927</v>
      </c>
      <c r="CO9" s="206">
        <f t="shared" si="38"/>
        <v>3</v>
      </c>
      <c r="CP9" s="199">
        <f t="shared" si="39"/>
        <v>3.246753246753247E-3</v>
      </c>
    </row>
    <row r="10" spans="1:94" s="148" customFormat="1" ht="18" customHeight="1" x14ac:dyDescent="0.25">
      <c r="A10" s="68" t="s">
        <v>130</v>
      </c>
      <c r="B10" s="416">
        <v>5237</v>
      </c>
      <c r="C10" s="416">
        <v>6183</v>
      </c>
      <c r="D10" s="416">
        <f t="shared" si="12"/>
        <v>946</v>
      </c>
      <c r="E10" s="563">
        <f t="shared" si="13"/>
        <v>0.18063776971548595</v>
      </c>
      <c r="F10" s="203">
        <v>7104</v>
      </c>
      <c r="G10" s="203">
        <f t="shared" si="14"/>
        <v>921</v>
      </c>
      <c r="H10" s="362">
        <f t="shared" si="15"/>
        <v>0.12964527027027026</v>
      </c>
      <c r="I10" s="203">
        <v>5831</v>
      </c>
      <c r="J10" s="203">
        <f t="shared" si="16"/>
        <v>-1273</v>
      </c>
      <c r="K10" s="362">
        <f t="shared" si="17"/>
        <v>-0.17919481981981983</v>
      </c>
      <c r="L10" s="203">
        <v>6166</v>
      </c>
      <c r="M10" s="203">
        <v>335</v>
      </c>
      <c r="N10" s="397">
        <v>5.7451552049391182E-2</v>
      </c>
      <c r="O10" s="203">
        <v>6039</v>
      </c>
      <c r="P10" s="203">
        <f t="shared" si="18"/>
        <v>-127</v>
      </c>
      <c r="Q10" s="397">
        <f t="shared" si="0"/>
        <v>-2.0596821277975998E-2</v>
      </c>
      <c r="R10" s="203">
        <v>10314</v>
      </c>
      <c r="S10" s="203">
        <f t="shared" si="1"/>
        <v>4275</v>
      </c>
      <c r="T10" s="397">
        <f t="shared" si="2"/>
        <v>0.7078986587183308</v>
      </c>
      <c r="U10" s="203">
        <v>12645</v>
      </c>
      <c r="V10" s="203">
        <f>U10-R10</f>
        <v>2331</v>
      </c>
      <c r="W10" s="397">
        <f t="shared" si="19"/>
        <v>0.22600349040139617</v>
      </c>
      <c r="X10" s="201">
        <f>6847+2702+328</f>
        <v>9877</v>
      </c>
      <c r="Y10" s="203">
        <f t="shared" si="3"/>
        <v>-2768</v>
      </c>
      <c r="Z10" s="484">
        <f>Y10/U10</f>
        <v>-0.21890075128509293</v>
      </c>
      <c r="AA10" s="203">
        <f>6086+3093+410</f>
        <v>9589</v>
      </c>
      <c r="AB10" s="564">
        <f t="shared" si="4"/>
        <v>-288</v>
      </c>
      <c r="AC10" s="485">
        <f t="shared" si="5"/>
        <v>-2.9158651412372179E-2</v>
      </c>
      <c r="AD10" s="418">
        <f>5349+3022+434</f>
        <v>8805</v>
      </c>
      <c r="AE10" s="418"/>
      <c r="AF10" s="203">
        <f>4333+2678+355</f>
        <v>7366</v>
      </c>
      <c r="AG10" s="203">
        <f t="shared" si="20"/>
        <v>-2223</v>
      </c>
      <c r="AH10" s="397">
        <f t="shared" si="21"/>
        <v>-0.23182813640629887</v>
      </c>
      <c r="AI10" s="418">
        <f>5349-200</f>
        <v>5149</v>
      </c>
      <c r="AJ10" s="148">
        <f>5349-200</f>
        <v>5149</v>
      </c>
      <c r="AK10" s="354">
        <v>5451</v>
      </c>
      <c r="AM10" s="203">
        <f t="shared" si="22"/>
        <v>5451</v>
      </c>
      <c r="AN10" s="148">
        <v>4544</v>
      </c>
      <c r="AO10" s="148">
        <v>4544</v>
      </c>
      <c r="AP10" s="418">
        <v>6</v>
      </c>
      <c r="AQ10" s="418">
        <v>89</v>
      </c>
      <c r="AR10" s="418">
        <f t="shared" si="23"/>
        <v>95</v>
      </c>
      <c r="AS10" s="204">
        <f t="shared" si="24"/>
        <v>8105.1669300000003</v>
      </c>
      <c r="AT10" s="418">
        <f t="shared" si="25"/>
        <v>739.16693000000032</v>
      </c>
      <c r="AU10" s="485">
        <f t="shared" si="26"/>
        <v>0.10034848357317408</v>
      </c>
      <c r="AV10" s="418">
        <f t="shared" si="6"/>
        <v>739.16693000000032</v>
      </c>
      <c r="AW10" s="485">
        <f t="shared" si="7"/>
        <v>0.10034848357317408</v>
      </c>
      <c r="AX10" s="203">
        <v>8681</v>
      </c>
      <c r="AY10" s="203">
        <f t="shared" si="27"/>
        <v>1315</v>
      </c>
      <c r="AZ10" s="397">
        <f t="shared" si="28"/>
        <v>0.17852294325278306</v>
      </c>
      <c r="BA10" s="560">
        <v>8359.1861499999995</v>
      </c>
      <c r="BB10" s="560">
        <v>8010.1669300000003</v>
      </c>
      <c r="BC10" s="560">
        <f t="shared" si="29"/>
        <v>349.01921999999922</v>
      </c>
      <c r="BD10" s="304">
        <f t="shared" si="30"/>
        <v>4.1752775178956772E-2</v>
      </c>
      <c r="BE10" s="204">
        <v>7998</v>
      </c>
      <c r="BF10" s="203">
        <f>BE10-AX10</f>
        <v>-683</v>
      </c>
      <c r="BG10" s="397">
        <f>BF10/AX10</f>
        <v>-7.8677571708328536E-2</v>
      </c>
      <c r="BH10" s="565">
        <v>6</v>
      </c>
      <c r="BI10" s="418">
        <v>0</v>
      </c>
      <c r="BJ10" s="418"/>
      <c r="BK10" s="418">
        <v>75</v>
      </c>
      <c r="BL10" s="309">
        <f>BE10+BH10+BI10+BJ10+BK10</f>
        <v>8079</v>
      </c>
      <c r="BM10" s="309">
        <f t="shared" si="32"/>
        <v>-26.16693000000032</v>
      </c>
      <c r="BN10" s="309">
        <v>8435</v>
      </c>
      <c r="BO10" s="561">
        <v>8435</v>
      </c>
      <c r="BP10" s="206">
        <f t="shared" si="33"/>
        <v>437</v>
      </c>
      <c r="BQ10" s="362">
        <f t="shared" si="8"/>
        <v>-3.2284257962840401E-3</v>
      </c>
      <c r="BR10" s="205">
        <f t="shared" si="34"/>
        <v>5.4638659664916232E-2</v>
      </c>
      <c r="BS10" s="309">
        <v>5.4809999999999999</v>
      </c>
      <c r="BV10" s="566">
        <v>322.68799999999999</v>
      </c>
      <c r="BW10" s="207">
        <f t="shared" si="9"/>
        <v>8763.1689999999999</v>
      </c>
      <c r="BX10" s="206">
        <v>8435</v>
      </c>
      <c r="BY10" s="206"/>
      <c r="BZ10" s="206">
        <v>8287</v>
      </c>
      <c r="CA10" s="206">
        <f t="shared" si="40"/>
        <v>289</v>
      </c>
      <c r="CB10" s="199">
        <f t="shared" si="41"/>
        <v>3.6134033508377093E-2</v>
      </c>
      <c r="CC10" s="206">
        <v>8253</v>
      </c>
      <c r="CD10" s="206">
        <v>8353</v>
      </c>
      <c r="CE10" s="206"/>
      <c r="CF10" s="17">
        <v>8283</v>
      </c>
      <c r="CG10" s="206">
        <f t="shared" si="35"/>
        <v>-4</v>
      </c>
      <c r="CH10" s="304">
        <f t="shared" si="36"/>
        <v>-4.8268372149149272E-4</v>
      </c>
      <c r="CI10" s="309">
        <f>(9322)</f>
        <v>9322</v>
      </c>
      <c r="CJ10" s="309"/>
      <c r="CK10" s="309">
        <f t="shared" si="10"/>
        <v>9322</v>
      </c>
      <c r="CL10" s="206">
        <f t="shared" si="37"/>
        <v>1039</v>
      </c>
      <c r="CM10" s="562">
        <f t="shared" si="11"/>
        <v>0.12543764336593022</v>
      </c>
      <c r="CN10" s="780">
        <v>7745</v>
      </c>
      <c r="CO10" s="206">
        <f t="shared" si="38"/>
        <v>-1577</v>
      </c>
      <c r="CP10" s="199">
        <f t="shared" si="39"/>
        <v>-0.16916970607165843</v>
      </c>
    </row>
    <row r="11" spans="1:94" s="148" customFormat="1" ht="18" customHeight="1" x14ac:dyDescent="0.25">
      <c r="A11" s="68" t="s">
        <v>131</v>
      </c>
      <c r="B11" s="567" t="s">
        <v>132</v>
      </c>
      <c r="C11" s="567" t="s">
        <v>132</v>
      </c>
      <c r="D11" s="567" t="s">
        <v>132</v>
      </c>
      <c r="E11" s="567" t="s">
        <v>132</v>
      </c>
      <c r="F11" s="567" t="s">
        <v>132</v>
      </c>
      <c r="G11" s="567" t="s">
        <v>132</v>
      </c>
      <c r="H11" s="567" t="s">
        <v>132</v>
      </c>
      <c r="I11" s="567" t="s">
        <v>132</v>
      </c>
      <c r="J11" s="567" t="s">
        <v>132</v>
      </c>
      <c r="K11" s="567" t="s">
        <v>132</v>
      </c>
      <c r="L11" s="203">
        <v>0</v>
      </c>
      <c r="M11" s="203">
        <v>0</v>
      </c>
      <c r="N11" s="568" t="s">
        <v>132</v>
      </c>
      <c r="O11" s="203"/>
      <c r="P11" s="203"/>
      <c r="Q11" s="568"/>
      <c r="R11" s="203"/>
      <c r="S11" s="203"/>
      <c r="T11" s="568"/>
      <c r="U11" s="203"/>
      <c r="V11" s="203"/>
      <c r="W11" s="568"/>
      <c r="X11" s="569"/>
      <c r="Y11" s="570"/>
      <c r="Z11" s="417"/>
      <c r="AA11" s="570"/>
      <c r="AB11" s="568"/>
      <c r="AC11" s="570"/>
      <c r="AD11" s="570"/>
      <c r="AE11" s="570"/>
      <c r="AF11" s="571"/>
      <c r="AG11" s="571" t="s">
        <v>132</v>
      </c>
      <c r="AH11" s="570" t="s">
        <v>132</v>
      </c>
      <c r="AI11" s="418">
        <f>3022-100</f>
        <v>2922</v>
      </c>
      <c r="AJ11" s="148">
        <f>3022-100</f>
        <v>2922</v>
      </c>
      <c r="AK11" s="354">
        <v>3017</v>
      </c>
      <c r="AM11" s="203">
        <f t="shared" si="22"/>
        <v>3017</v>
      </c>
      <c r="AN11" s="148">
        <v>2676</v>
      </c>
      <c r="AO11" s="148">
        <v>2676</v>
      </c>
      <c r="AP11" s="418">
        <v>13</v>
      </c>
      <c r="AQ11" s="418">
        <v>8</v>
      </c>
      <c r="AR11" s="418">
        <f t="shared" si="23"/>
        <v>21</v>
      </c>
      <c r="AS11" s="204">
        <f t="shared" si="24"/>
        <v>21</v>
      </c>
      <c r="AT11" s="418">
        <f t="shared" si="25"/>
        <v>21</v>
      </c>
      <c r="AU11" s="485" t="e">
        <f t="shared" si="26"/>
        <v>#DIV/0!</v>
      </c>
      <c r="AV11" s="418">
        <f t="shared" si="6"/>
        <v>21</v>
      </c>
      <c r="AW11" s="485" t="e">
        <f t="shared" si="7"/>
        <v>#DIV/0!</v>
      </c>
      <c r="AX11" s="571"/>
      <c r="AY11" s="571" t="s">
        <v>132</v>
      </c>
      <c r="AZ11" s="570" t="s">
        <v>132</v>
      </c>
      <c r="BA11" s="570"/>
      <c r="BB11" s="570"/>
      <c r="BC11" s="560">
        <f t="shared" si="29"/>
        <v>0</v>
      </c>
      <c r="BD11" s="304"/>
      <c r="BE11" s="571"/>
      <c r="BF11" s="571" t="s">
        <v>132</v>
      </c>
      <c r="BG11" s="570" t="s">
        <v>132</v>
      </c>
      <c r="BH11" s="572">
        <v>13</v>
      </c>
      <c r="BI11" s="572"/>
      <c r="BJ11" s="572"/>
      <c r="BK11" s="572"/>
      <c r="BL11" s="309">
        <f t="shared" si="31"/>
        <v>13</v>
      </c>
      <c r="BM11" s="309">
        <f t="shared" si="32"/>
        <v>-8</v>
      </c>
      <c r="BN11" s="309">
        <v>0</v>
      </c>
      <c r="BO11" s="561">
        <v>0</v>
      </c>
      <c r="BP11" s="206">
        <f t="shared" si="33"/>
        <v>0</v>
      </c>
      <c r="BQ11" s="362">
        <f t="shared" si="8"/>
        <v>-0.38095238095238093</v>
      </c>
      <c r="BR11" s="205" t="e">
        <f t="shared" si="34"/>
        <v>#DIV/0!</v>
      </c>
      <c r="BS11" s="309">
        <v>90.355000000000004</v>
      </c>
      <c r="BV11" s="573">
        <v>3.5</v>
      </c>
      <c r="BW11" s="207">
        <f t="shared" si="9"/>
        <v>93.855000000000004</v>
      </c>
      <c r="BX11" s="206">
        <v>0</v>
      </c>
      <c r="BY11" s="206"/>
      <c r="BZ11" s="206">
        <f t="shared" ref="BZ11:BZ40" si="42">BX11+BY11</f>
        <v>0</v>
      </c>
      <c r="CA11" s="206">
        <f t="shared" si="40"/>
        <v>0</v>
      </c>
      <c r="CB11" s="199" t="e">
        <f t="shared" si="41"/>
        <v>#DIV/0!</v>
      </c>
      <c r="CC11" s="309">
        <v>0</v>
      </c>
      <c r="CD11" s="309">
        <v>0</v>
      </c>
      <c r="CE11" s="309"/>
      <c r="CF11" s="206">
        <f t="shared" ref="CF11:CF42" si="43">CD11+CE11</f>
        <v>0</v>
      </c>
      <c r="CG11" s="206">
        <f t="shared" si="35"/>
        <v>0</v>
      </c>
      <c r="CH11" s="304" t="e">
        <f t="shared" si="36"/>
        <v>#DIV/0!</v>
      </c>
      <c r="CI11" s="309">
        <v>0</v>
      </c>
      <c r="CJ11" s="309"/>
      <c r="CK11" s="309">
        <f t="shared" si="10"/>
        <v>0</v>
      </c>
      <c r="CL11" s="206">
        <f t="shared" si="37"/>
        <v>0</v>
      </c>
      <c r="CM11" s="562" t="e">
        <f t="shared" si="11"/>
        <v>#DIV/0!</v>
      </c>
      <c r="CN11" s="17">
        <v>0</v>
      </c>
      <c r="CO11" s="206">
        <f t="shared" si="38"/>
        <v>0</v>
      </c>
      <c r="CP11" s="199" t="e">
        <f t="shared" si="39"/>
        <v>#DIV/0!</v>
      </c>
    </row>
    <row r="12" spans="1:94" s="148" customFormat="1" ht="18" customHeight="1" x14ac:dyDescent="0.25">
      <c r="A12" s="68" t="s">
        <v>133</v>
      </c>
      <c r="B12" s="567" t="s">
        <v>132</v>
      </c>
      <c r="C12" s="567" t="s">
        <v>132</v>
      </c>
      <c r="D12" s="567" t="s">
        <v>132</v>
      </c>
      <c r="E12" s="567" t="s">
        <v>132</v>
      </c>
      <c r="F12" s="567" t="s">
        <v>132</v>
      </c>
      <c r="G12" s="567" t="s">
        <v>132</v>
      </c>
      <c r="H12" s="567" t="s">
        <v>132</v>
      </c>
      <c r="I12" s="567" t="s">
        <v>132</v>
      </c>
      <c r="J12" s="567" t="s">
        <v>132</v>
      </c>
      <c r="K12" s="567" t="s">
        <v>132</v>
      </c>
      <c r="L12" s="203">
        <v>0</v>
      </c>
      <c r="M12" s="203">
        <v>0</v>
      </c>
      <c r="N12" s="568" t="s">
        <v>132</v>
      </c>
      <c r="O12" s="203"/>
      <c r="P12" s="203"/>
      <c r="Q12" s="568"/>
      <c r="R12" s="203"/>
      <c r="S12" s="203"/>
      <c r="T12" s="568"/>
      <c r="U12" s="203"/>
      <c r="V12" s="203"/>
      <c r="W12" s="568"/>
      <c r="X12" s="569"/>
      <c r="Y12" s="570"/>
      <c r="Z12" s="417"/>
      <c r="AA12" s="570"/>
      <c r="AB12" s="568"/>
      <c r="AC12" s="570"/>
      <c r="AD12" s="570"/>
      <c r="AE12" s="570"/>
      <c r="AF12" s="571"/>
      <c r="AG12" s="571" t="s">
        <v>132</v>
      </c>
      <c r="AH12" s="570" t="s">
        <v>132</v>
      </c>
      <c r="AI12" s="418">
        <v>434</v>
      </c>
      <c r="AJ12" s="148">
        <v>434</v>
      </c>
      <c r="AK12" s="354">
        <v>472</v>
      </c>
      <c r="AM12" s="203">
        <f t="shared" si="22"/>
        <v>472</v>
      </c>
      <c r="AN12" s="148">
        <v>302</v>
      </c>
      <c r="AO12" s="148">
        <v>302</v>
      </c>
      <c r="AP12" s="418">
        <v>110</v>
      </c>
      <c r="AQ12" s="418">
        <v>0</v>
      </c>
      <c r="AR12" s="418">
        <f t="shared" si="23"/>
        <v>110</v>
      </c>
      <c r="AS12" s="204">
        <f t="shared" si="24"/>
        <v>110</v>
      </c>
      <c r="AT12" s="418">
        <f t="shared" si="25"/>
        <v>110</v>
      </c>
      <c r="AU12" s="485" t="e">
        <f t="shared" si="26"/>
        <v>#DIV/0!</v>
      </c>
      <c r="AV12" s="418">
        <f t="shared" si="6"/>
        <v>110</v>
      </c>
      <c r="AW12" s="485" t="e">
        <f t="shared" si="7"/>
        <v>#DIV/0!</v>
      </c>
      <c r="AX12" s="571"/>
      <c r="AY12" s="571" t="s">
        <v>132</v>
      </c>
      <c r="AZ12" s="570" t="s">
        <v>132</v>
      </c>
      <c r="BA12" s="570"/>
      <c r="BB12" s="570"/>
      <c r="BC12" s="560">
        <f t="shared" si="29"/>
        <v>0</v>
      </c>
      <c r="BD12" s="304"/>
      <c r="BE12" s="571"/>
      <c r="BF12" s="571" t="s">
        <v>132</v>
      </c>
      <c r="BG12" s="570" t="s">
        <v>132</v>
      </c>
      <c r="BH12" s="572">
        <v>103</v>
      </c>
      <c r="BI12" s="572"/>
      <c r="BJ12" s="572"/>
      <c r="BK12" s="572"/>
      <c r="BL12" s="309">
        <f t="shared" si="31"/>
        <v>103</v>
      </c>
      <c r="BM12" s="309">
        <f t="shared" si="32"/>
        <v>-7</v>
      </c>
      <c r="BN12" s="309">
        <v>0</v>
      </c>
      <c r="BO12" s="561">
        <v>0</v>
      </c>
      <c r="BP12" s="206">
        <f t="shared" si="33"/>
        <v>0</v>
      </c>
      <c r="BQ12" s="362">
        <f t="shared" si="8"/>
        <v>-6.363636363636363E-2</v>
      </c>
      <c r="BR12" s="205" t="e">
        <f t="shared" si="34"/>
        <v>#DIV/0!</v>
      </c>
      <c r="BS12" s="309">
        <v>103.727</v>
      </c>
      <c r="BV12" s="573">
        <v>22.492999999999999</v>
      </c>
      <c r="BW12" s="207">
        <f t="shared" si="9"/>
        <v>126.22</v>
      </c>
      <c r="BX12" s="206">
        <v>0</v>
      </c>
      <c r="BY12" s="206"/>
      <c r="BZ12" s="206">
        <f t="shared" si="42"/>
        <v>0</v>
      </c>
      <c r="CA12" s="206">
        <f t="shared" si="40"/>
        <v>0</v>
      </c>
      <c r="CB12" s="199" t="e">
        <f t="shared" si="41"/>
        <v>#DIV/0!</v>
      </c>
      <c r="CC12" s="309">
        <v>0</v>
      </c>
      <c r="CD12" s="309">
        <v>0</v>
      </c>
      <c r="CE12" s="309"/>
      <c r="CF12" s="206">
        <f t="shared" si="43"/>
        <v>0</v>
      </c>
      <c r="CG12" s="206">
        <f t="shared" si="35"/>
        <v>0</v>
      </c>
      <c r="CH12" s="304" t="e">
        <f t="shared" si="36"/>
        <v>#DIV/0!</v>
      </c>
      <c r="CI12" s="309">
        <v>0</v>
      </c>
      <c r="CJ12" s="309"/>
      <c r="CK12" s="309">
        <f t="shared" si="10"/>
        <v>0</v>
      </c>
      <c r="CL12" s="206">
        <f t="shared" si="37"/>
        <v>0</v>
      </c>
      <c r="CM12" s="562" t="e">
        <f t="shared" si="11"/>
        <v>#DIV/0!</v>
      </c>
      <c r="CN12" s="148">
        <v>0</v>
      </c>
      <c r="CO12" s="206">
        <f t="shared" si="38"/>
        <v>0</v>
      </c>
      <c r="CP12" s="199" t="e">
        <f t="shared" si="39"/>
        <v>#DIV/0!</v>
      </c>
    </row>
    <row r="13" spans="1:94" s="148" customFormat="1" ht="18" customHeight="1" x14ac:dyDescent="0.25">
      <c r="A13" s="68" t="s">
        <v>134</v>
      </c>
      <c r="B13" s="416">
        <f>1706+177</f>
        <v>1883</v>
      </c>
      <c r="C13" s="416">
        <f>1748+574</f>
        <v>2322</v>
      </c>
      <c r="D13" s="416">
        <f t="shared" si="12"/>
        <v>439</v>
      </c>
      <c r="E13" s="563">
        <f t="shared" si="13"/>
        <v>0.23313860860329261</v>
      </c>
      <c r="F13" s="203">
        <f>2209+90</f>
        <v>2299</v>
      </c>
      <c r="G13" s="203">
        <f t="shared" si="14"/>
        <v>-23</v>
      </c>
      <c r="H13" s="362">
        <f t="shared" si="15"/>
        <v>-1.0004349717268378E-2</v>
      </c>
      <c r="I13" s="203">
        <f>2168+393</f>
        <v>2561</v>
      </c>
      <c r="J13" s="203">
        <f t="shared" si="16"/>
        <v>262</v>
      </c>
      <c r="K13" s="362">
        <f t="shared" si="17"/>
        <v>0.11396259243149195</v>
      </c>
      <c r="L13" s="203">
        <v>2664</v>
      </c>
      <c r="M13" s="203">
        <v>103</v>
      </c>
      <c r="N13" s="397">
        <v>4.0218664584146815E-2</v>
      </c>
      <c r="O13" s="203">
        <v>2856</v>
      </c>
      <c r="P13" s="203">
        <f t="shared" si="18"/>
        <v>192</v>
      </c>
      <c r="Q13" s="397">
        <f t="shared" si="0"/>
        <v>7.2072072072072071E-2</v>
      </c>
      <c r="R13" s="203">
        <v>3066</v>
      </c>
      <c r="S13" s="203">
        <f t="shared" si="1"/>
        <v>210</v>
      </c>
      <c r="T13" s="397">
        <f t="shared" si="2"/>
        <v>7.3529411764705885E-2</v>
      </c>
      <c r="U13" s="203">
        <v>3514</v>
      </c>
      <c r="V13" s="203">
        <f t="shared" ref="V13:V35" si="44">U13-R13</f>
        <v>448</v>
      </c>
      <c r="W13" s="397">
        <f t="shared" si="19"/>
        <v>0.14611872146118721</v>
      </c>
      <c r="X13" s="201">
        <v>3275</v>
      </c>
      <c r="Y13" s="203">
        <f t="shared" si="3"/>
        <v>-239</v>
      </c>
      <c r="Z13" s="484">
        <f t="shared" ref="Z13:Z18" si="45">Y13/U13</f>
        <v>-6.8013659647125788E-2</v>
      </c>
      <c r="AA13" s="203">
        <v>4304</v>
      </c>
      <c r="AB13" s="564">
        <f t="shared" si="4"/>
        <v>1029</v>
      </c>
      <c r="AC13" s="485">
        <f t="shared" si="5"/>
        <v>0.31419847328244277</v>
      </c>
      <c r="AD13" s="418">
        <v>2751</v>
      </c>
      <c r="AE13" s="418">
        <v>540</v>
      </c>
      <c r="AF13" s="203">
        <v>2947</v>
      </c>
      <c r="AG13" s="203">
        <f t="shared" si="20"/>
        <v>-1357</v>
      </c>
      <c r="AH13" s="397">
        <f t="shared" si="21"/>
        <v>-0.31528810408921931</v>
      </c>
      <c r="AI13" s="418">
        <f>2751-363</f>
        <v>2388</v>
      </c>
      <c r="AJ13" s="148">
        <f>3291-363</f>
        <v>2928</v>
      </c>
      <c r="AK13" s="354">
        <v>2689</v>
      </c>
      <c r="AL13" s="148">
        <v>150</v>
      </c>
      <c r="AM13" s="203">
        <f t="shared" si="22"/>
        <v>2839</v>
      </c>
      <c r="AN13" s="148">
        <v>2028</v>
      </c>
      <c r="AO13" s="148">
        <v>2727</v>
      </c>
      <c r="AP13" s="418">
        <v>313</v>
      </c>
      <c r="AQ13" s="418">
        <v>36</v>
      </c>
      <c r="AR13" s="418">
        <f t="shared" si="23"/>
        <v>349</v>
      </c>
      <c r="AS13" s="204">
        <f t="shared" si="24"/>
        <v>3220.0817099999999</v>
      </c>
      <c r="AT13" s="418">
        <f t="shared" si="25"/>
        <v>273.08170999999993</v>
      </c>
      <c r="AU13" s="485">
        <f t="shared" si="26"/>
        <v>9.266430607397351E-2</v>
      </c>
      <c r="AV13" s="418">
        <f t="shared" si="6"/>
        <v>273.08170999999993</v>
      </c>
      <c r="AW13" s="485">
        <f t="shared" si="7"/>
        <v>9.266430607397351E-2</v>
      </c>
      <c r="AX13" s="203">
        <v>2728</v>
      </c>
      <c r="AY13" s="203">
        <f t="shared" si="27"/>
        <v>-219</v>
      </c>
      <c r="AZ13" s="397">
        <f t="shared" si="28"/>
        <v>-7.4312860536138448E-2</v>
      </c>
      <c r="BA13" s="560">
        <f>2046.53795+1000</f>
        <v>3046.5379499999999</v>
      </c>
      <c r="BB13" s="560">
        <f>2012.79325+858.28846</f>
        <v>2871.0817099999999</v>
      </c>
      <c r="BC13" s="560">
        <f t="shared" si="29"/>
        <v>175.45623999999998</v>
      </c>
      <c r="BD13" s="304">
        <f t="shared" si="30"/>
        <v>5.7592008660190819E-2</v>
      </c>
      <c r="BE13" s="204">
        <v>3777</v>
      </c>
      <c r="BF13" s="203">
        <f t="shared" ref="BF13:BF39" si="46">BE13-AX13</f>
        <v>1049</v>
      </c>
      <c r="BG13" s="397">
        <f t="shared" ref="BG13:BG39" si="47">BF13/AX13</f>
        <v>0.3845307917888563</v>
      </c>
      <c r="BH13" s="418">
        <v>230</v>
      </c>
      <c r="BI13" s="418"/>
      <c r="BJ13" s="418"/>
      <c r="BK13" s="572">
        <v>31</v>
      </c>
      <c r="BL13" s="309">
        <f>BE13+BH13+BI13+BJ13+BK13</f>
        <v>4038</v>
      </c>
      <c r="BM13" s="309">
        <f t="shared" si="32"/>
        <v>817.91829000000007</v>
      </c>
      <c r="BN13" s="309">
        <v>3246</v>
      </c>
      <c r="BO13" s="561">
        <v>3246</v>
      </c>
      <c r="BP13" s="206">
        <f t="shared" si="33"/>
        <v>-531</v>
      </c>
      <c r="BQ13" s="362">
        <f t="shared" si="8"/>
        <v>0.25400544571895356</v>
      </c>
      <c r="BR13" s="205">
        <f t="shared" si="34"/>
        <v>-0.14058776806989676</v>
      </c>
      <c r="BS13" s="309">
        <v>239.78700000000001</v>
      </c>
      <c r="BV13" s="309">
        <v>18.004999999999999</v>
      </c>
      <c r="BW13" s="207">
        <f t="shared" si="9"/>
        <v>3503.7919999999999</v>
      </c>
      <c r="BX13" s="206">
        <v>3246</v>
      </c>
      <c r="BY13" s="206"/>
      <c r="BZ13" s="206">
        <v>3544</v>
      </c>
      <c r="CA13" s="206">
        <f t="shared" si="40"/>
        <v>-233</v>
      </c>
      <c r="CB13" s="199">
        <f t="shared" si="41"/>
        <v>-6.1689171299973526E-2</v>
      </c>
      <c r="CC13" s="206">
        <v>3266</v>
      </c>
      <c r="CD13" s="206">
        <v>3266</v>
      </c>
      <c r="CE13" s="206"/>
      <c r="CF13" s="206">
        <v>3711</v>
      </c>
      <c r="CG13" s="206">
        <f t="shared" si="35"/>
        <v>167</v>
      </c>
      <c r="CH13" s="304">
        <f>CG13/BZ13</f>
        <v>4.7121896162528217E-2</v>
      </c>
      <c r="CI13" s="206">
        <f>3915</f>
        <v>3915</v>
      </c>
      <c r="CJ13" s="206">
        <v>-100</v>
      </c>
      <c r="CK13" s="206">
        <f t="shared" si="10"/>
        <v>3815</v>
      </c>
      <c r="CL13" s="206">
        <f t="shared" si="37"/>
        <v>104</v>
      </c>
      <c r="CM13" s="562">
        <f t="shared" si="11"/>
        <v>2.8024791161412019E-2</v>
      </c>
      <c r="CN13" s="148">
        <v>0</v>
      </c>
      <c r="CO13" s="206">
        <f t="shared" si="38"/>
        <v>-3815</v>
      </c>
      <c r="CP13" s="199">
        <f t="shared" si="39"/>
        <v>-1</v>
      </c>
    </row>
    <row r="14" spans="1:94" ht="18" customHeight="1" x14ac:dyDescent="0.25">
      <c r="A14" s="312" t="s">
        <v>135</v>
      </c>
      <c r="B14" s="302">
        <v>0</v>
      </c>
      <c r="C14" s="302">
        <v>551</v>
      </c>
      <c r="D14" s="302">
        <f t="shared" si="12"/>
        <v>551</v>
      </c>
      <c r="E14" s="310" t="s">
        <v>132</v>
      </c>
      <c r="F14" s="204">
        <v>1850</v>
      </c>
      <c r="G14" s="204">
        <f t="shared" si="14"/>
        <v>1299</v>
      </c>
      <c r="H14" s="199">
        <f t="shared" si="15"/>
        <v>0.70216216216216221</v>
      </c>
      <c r="I14" s="204">
        <v>2207</v>
      </c>
      <c r="J14" s="204">
        <f t="shared" si="16"/>
        <v>357</v>
      </c>
      <c r="K14" s="199">
        <f t="shared" si="17"/>
        <v>0.19297297297297297</v>
      </c>
      <c r="L14" s="204">
        <v>2285</v>
      </c>
      <c r="M14" s="204">
        <v>78</v>
      </c>
      <c r="N14" s="304">
        <v>3.5342093339374714E-2</v>
      </c>
      <c r="O14" s="204">
        <v>361</v>
      </c>
      <c r="P14" s="204">
        <f t="shared" si="18"/>
        <v>-1924</v>
      </c>
      <c r="Q14" s="304">
        <f t="shared" si="0"/>
        <v>-0.84201312910284465</v>
      </c>
      <c r="R14" s="204">
        <v>328</v>
      </c>
      <c r="S14" s="204">
        <f t="shared" si="1"/>
        <v>-33</v>
      </c>
      <c r="T14" s="304">
        <f t="shared" si="2"/>
        <v>-9.141274238227147E-2</v>
      </c>
      <c r="U14" s="204">
        <v>246</v>
      </c>
      <c r="V14" s="204">
        <f t="shared" si="44"/>
        <v>-82</v>
      </c>
      <c r="W14" s="304">
        <f t="shared" si="19"/>
        <v>-0.25</v>
      </c>
      <c r="Y14" s="204">
        <f t="shared" si="3"/>
        <v>-246</v>
      </c>
      <c r="Z14" s="484">
        <f t="shared" si="45"/>
        <v>-1</v>
      </c>
      <c r="AB14" s="374">
        <f t="shared" si="4"/>
        <v>0</v>
      </c>
      <c r="AC14" s="395" t="s">
        <v>132</v>
      </c>
      <c r="AG14" s="204">
        <f t="shared" si="20"/>
        <v>0</v>
      </c>
      <c r="AH14" s="574" t="e">
        <f>AG14/AA14</f>
        <v>#DIV/0!</v>
      </c>
      <c r="AJ14" s="66">
        <v>0</v>
      </c>
      <c r="AM14" s="204"/>
      <c r="AP14" s="200"/>
      <c r="AQ14" s="200"/>
      <c r="AR14" s="200">
        <f t="shared" si="23"/>
        <v>0</v>
      </c>
      <c r="AS14" s="204">
        <f t="shared" si="24"/>
        <v>0</v>
      </c>
      <c r="AT14" s="200">
        <f t="shared" si="25"/>
        <v>0</v>
      </c>
      <c r="AU14" s="205" t="e">
        <f t="shared" si="26"/>
        <v>#DIV/0!</v>
      </c>
      <c r="AV14" s="200"/>
      <c r="AW14" s="205"/>
      <c r="AY14" s="204">
        <f t="shared" si="27"/>
        <v>0</v>
      </c>
      <c r="AZ14" s="304" t="e">
        <f t="shared" si="28"/>
        <v>#DIV/0!</v>
      </c>
      <c r="BC14" s="560">
        <f t="shared" si="29"/>
        <v>0</v>
      </c>
      <c r="BF14" s="204">
        <f t="shared" si="46"/>
        <v>0</v>
      </c>
      <c r="BG14" s="304" t="e">
        <f t="shared" si="47"/>
        <v>#DIV/0!</v>
      </c>
      <c r="BH14" s="200"/>
      <c r="BI14" s="200"/>
      <c r="BJ14" s="200"/>
      <c r="BK14" s="200"/>
      <c r="BL14" s="206">
        <f t="shared" si="31"/>
        <v>0</v>
      </c>
      <c r="BM14" s="206">
        <f t="shared" si="32"/>
        <v>0</v>
      </c>
      <c r="BN14" s="206"/>
      <c r="BO14" s="561">
        <v>0</v>
      </c>
      <c r="BP14" s="206">
        <f t="shared" si="33"/>
        <v>0</v>
      </c>
      <c r="BQ14" s="199" t="e">
        <f t="shared" si="8"/>
        <v>#DIV/0!</v>
      </c>
      <c r="BR14" s="205" t="e">
        <f t="shared" si="34"/>
        <v>#DIV/0!</v>
      </c>
      <c r="BV14" s="206"/>
      <c r="BW14" s="207">
        <f>BN14+BS15+BT14+BU14+BV14</f>
        <v>3.343</v>
      </c>
      <c r="BX14" s="206"/>
      <c r="BY14" s="206"/>
      <c r="BZ14" s="206">
        <f t="shared" si="42"/>
        <v>0</v>
      </c>
      <c r="CA14" s="206">
        <f t="shared" si="40"/>
        <v>0</v>
      </c>
      <c r="CB14" s="199" t="e">
        <f t="shared" si="41"/>
        <v>#DIV/0!</v>
      </c>
      <c r="CC14" s="206"/>
      <c r="CD14" s="206"/>
      <c r="CE14" s="206"/>
      <c r="CF14" s="206">
        <f t="shared" si="43"/>
        <v>0</v>
      </c>
      <c r="CG14" s="206">
        <f t="shared" si="35"/>
        <v>0</v>
      </c>
      <c r="CH14" s="304" t="e">
        <f t="shared" si="36"/>
        <v>#DIV/0!</v>
      </c>
      <c r="CI14" s="206">
        <v>0</v>
      </c>
      <c r="CJ14" s="206"/>
      <c r="CK14" s="206">
        <f t="shared" si="10"/>
        <v>0</v>
      </c>
      <c r="CL14" s="206">
        <f t="shared" si="37"/>
        <v>0</v>
      </c>
      <c r="CM14" s="562" t="e">
        <f t="shared" si="11"/>
        <v>#DIV/0!</v>
      </c>
      <c r="CN14" s="66">
        <v>0</v>
      </c>
      <c r="CO14" s="206">
        <f t="shared" si="38"/>
        <v>0</v>
      </c>
      <c r="CP14" s="199" t="e">
        <f t="shared" si="39"/>
        <v>#DIV/0!</v>
      </c>
    </row>
    <row r="15" spans="1:94" s="148" customFormat="1" ht="18" customHeight="1" x14ac:dyDescent="0.25">
      <c r="A15" s="68" t="s">
        <v>136</v>
      </c>
      <c r="B15" s="416">
        <f>2682</f>
        <v>2682</v>
      </c>
      <c r="C15" s="416">
        <v>4793</v>
      </c>
      <c r="D15" s="416">
        <f t="shared" si="12"/>
        <v>2111</v>
      </c>
      <c r="E15" s="563">
        <f t="shared" si="13"/>
        <v>0.78709917971662935</v>
      </c>
      <c r="F15" s="203">
        <v>5855</v>
      </c>
      <c r="G15" s="203">
        <f t="shared" si="14"/>
        <v>1062</v>
      </c>
      <c r="H15" s="362">
        <f t="shared" si="15"/>
        <v>0.18138343296327925</v>
      </c>
      <c r="I15" s="203">
        <f>7884-1250</f>
        <v>6634</v>
      </c>
      <c r="J15" s="203">
        <f t="shared" si="16"/>
        <v>779</v>
      </c>
      <c r="K15" s="362">
        <f t="shared" si="17"/>
        <v>0.13304867634500428</v>
      </c>
      <c r="L15" s="203">
        <v>6627</v>
      </c>
      <c r="M15" s="203">
        <v>-1257</v>
      </c>
      <c r="N15" s="397">
        <v>-0.15943683409436835</v>
      </c>
      <c r="O15" s="203">
        <v>11052</v>
      </c>
      <c r="P15" s="203">
        <f t="shared" si="18"/>
        <v>4425</v>
      </c>
      <c r="Q15" s="397">
        <f t="shared" si="0"/>
        <v>0.66772295156179262</v>
      </c>
      <c r="R15" s="203">
        <v>21225</v>
      </c>
      <c r="S15" s="203">
        <f t="shared" si="1"/>
        <v>10173</v>
      </c>
      <c r="T15" s="397">
        <f t="shared" si="2"/>
        <v>0.92046688382193265</v>
      </c>
      <c r="U15" s="203">
        <v>17635</v>
      </c>
      <c r="V15" s="203">
        <f t="shared" si="44"/>
        <v>-3590</v>
      </c>
      <c r="W15" s="397">
        <f t="shared" si="19"/>
        <v>-0.16914016489988221</v>
      </c>
      <c r="X15" s="201">
        <v>6507</v>
      </c>
      <c r="Y15" s="203">
        <f t="shared" si="3"/>
        <v>-11128</v>
      </c>
      <c r="Z15" s="484">
        <f t="shared" si="45"/>
        <v>-0.63101786220584066</v>
      </c>
      <c r="AA15" s="203">
        <v>5964</v>
      </c>
      <c r="AB15" s="564">
        <f t="shared" si="4"/>
        <v>-543</v>
      </c>
      <c r="AC15" s="485">
        <f>AB15/X15</f>
        <v>-8.34485938220378E-2</v>
      </c>
      <c r="AD15" s="418">
        <v>5442</v>
      </c>
      <c r="AE15" s="418"/>
      <c r="AF15" s="203">
        <v>5017</v>
      </c>
      <c r="AG15" s="203">
        <f t="shared" si="20"/>
        <v>-947</v>
      </c>
      <c r="AH15" s="397">
        <f t="shared" si="21"/>
        <v>-0.15878604963112006</v>
      </c>
      <c r="AI15" s="418">
        <v>5442</v>
      </c>
      <c r="AJ15" s="148">
        <v>5442</v>
      </c>
      <c r="AK15" s="354">
        <v>5438</v>
      </c>
      <c r="AM15" s="203">
        <f t="shared" si="22"/>
        <v>5438</v>
      </c>
      <c r="AN15" s="148">
        <v>5105</v>
      </c>
      <c r="AO15" s="148">
        <v>5105</v>
      </c>
      <c r="AP15" s="418">
        <v>1</v>
      </c>
      <c r="AQ15" s="418">
        <v>193</v>
      </c>
      <c r="AR15" s="418">
        <f t="shared" si="23"/>
        <v>194</v>
      </c>
      <c r="AS15" s="204">
        <f t="shared" si="24"/>
        <v>4205.7538000000004</v>
      </c>
      <c r="AT15" s="418">
        <f t="shared" si="25"/>
        <v>-811.24619999999959</v>
      </c>
      <c r="AU15" s="485">
        <f t="shared" si="26"/>
        <v>-0.16169946182977868</v>
      </c>
      <c r="AV15" s="418">
        <f>+AS15-AF15</f>
        <v>-811.24619999999959</v>
      </c>
      <c r="AW15" s="485">
        <f>+AV15/AF15</f>
        <v>-0.16169946182977868</v>
      </c>
      <c r="AX15" s="203">
        <v>3436</v>
      </c>
      <c r="AY15" s="203">
        <f t="shared" si="27"/>
        <v>-1581</v>
      </c>
      <c r="AZ15" s="397">
        <f t="shared" si="28"/>
        <v>-0.31512856288618696</v>
      </c>
      <c r="BA15" s="560">
        <v>4125.6647400000002</v>
      </c>
      <c r="BB15" s="560">
        <v>4011.7538</v>
      </c>
      <c r="BC15" s="560">
        <f>BA15-BB15</f>
        <v>113.91094000000021</v>
      </c>
      <c r="BD15" s="304">
        <f t="shared" si="30"/>
        <v>2.7610323954728372E-2</v>
      </c>
      <c r="BE15" s="204">
        <v>2847</v>
      </c>
      <c r="BF15" s="203">
        <f t="shared" si="46"/>
        <v>-589</v>
      </c>
      <c r="BG15" s="397">
        <f t="shared" si="47"/>
        <v>-0.17142025611175785</v>
      </c>
      <c r="BH15" s="418">
        <v>1</v>
      </c>
      <c r="BI15" s="418"/>
      <c r="BJ15" s="418"/>
      <c r="BK15" s="418">
        <v>80</v>
      </c>
      <c r="BL15" s="309">
        <f t="shared" si="31"/>
        <v>2928</v>
      </c>
      <c r="BM15" s="309">
        <f t="shared" si="32"/>
        <v>-1277.7538000000004</v>
      </c>
      <c r="BN15" s="309">
        <v>3351</v>
      </c>
      <c r="BO15" s="561">
        <v>3401</v>
      </c>
      <c r="BP15" s="206">
        <f t="shared" si="33"/>
        <v>554</v>
      </c>
      <c r="BQ15" s="362">
        <f t="shared" si="8"/>
        <v>-0.3038108887876414</v>
      </c>
      <c r="BR15" s="205">
        <f t="shared" si="34"/>
        <v>0.19459079733052337</v>
      </c>
      <c r="BS15" s="206">
        <v>3.343</v>
      </c>
      <c r="BV15" s="309">
        <v>53.973999999999997</v>
      </c>
      <c r="BW15" s="207">
        <v>3401</v>
      </c>
      <c r="BX15" s="206">
        <v>3401</v>
      </c>
      <c r="BY15" s="206"/>
      <c r="BZ15" s="206">
        <v>3195</v>
      </c>
      <c r="CA15" s="206">
        <f t="shared" si="40"/>
        <v>348</v>
      </c>
      <c r="CB15" s="199">
        <f t="shared" si="41"/>
        <v>0.12223393045310854</v>
      </c>
      <c r="CC15" s="206">
        <v>3383</v>
      </c>
      <c r="CD15" s="206">
        <v>4688</v>
      </c>
      <c r="CE15" s="206"/>
      <c r="CF15" s="206">
        <v>3238</v>
      </c>
      <c r="CG15" s="206">
        <f t="shared" si="35"/>
        <v>43</v>
      </c>
      <c r="CH15" s="304">
        <f t="shared" si="36"/>
        <v>1.3458528951486698E-2</v>
      </c>
      <c r="CI15" s="206">
        <v>3714</v>
      </c>
      <c r="CJ15" s="206"/>
      <c r="CK15" s="206">
        <f t="shared" si="10"/>
        <v>3714</v>
      </c>
      <c r="CL15" s="206">
        <f t="shared" si="37"/>
        <v>476</v>
      </c>
      <c r="CM15" s="562">
        <f t="shared" si="11"/>
        <v>0.14700432365657815</v>
      </c>
      <c r="CN15" s="200">
        <v>7266</v>
      </c>
      <c r="CO15" s="206">
        <f t="shared" si="38"/>
        <v>3552</v>
      </c>
      <c r="CP15" s="199">
        <f t="shared" si="39"/>
        <v>0.95638126009693059</v>
      </c>
    </row>
    <row r="16" spans="1:94" s="148" customFormat="1" ht="18" customHeight="1" x14ac:dyDescent="0.25">
      <c r="A16" s="68" t="s">
        <v>137</v>
      </c>
      <c r="B16" s="567" t="s">
        <v>132</v>
      </c>
      <c r="C16" s="567" t="s">
        <v>132</v>
      </c>
      <c r="D16" s="567" t="s">
        <v>132</v>
      </c>
      <c r="E16" s="567" t="s">
        <v>132</v>
      </c>
      <c r="F16" s="567" t="s">
        <v>132</v>
      </c>
      <c r="G16" s="567" t="s">
        <v>132</v>
      </c>
      <c r="H16" s="567" t="s">
        <v>132</v>
      </c>
      <c r="I16" s="567">
        <v>1250</v>
      </c>
      <c r="J16" s="567" t="s">
        <v>132</v>
      </c>
      <c r="K16" s="567" t="s">
        <v>132</v>
      </c>
      <c r="L16" s="203">
        <v>1801</v>
      </c>
      <c r="M16" s="203">
        <f>L16-I16</f>
        <v>551</v>
      </c>
      <c r="N16" s="568">
        <f>M16/I16</f>
        <v>0.44080000000000003</v>
      </c>
      <c r="O16" s="203">
        <v>1258</v>
      </c>
      <c r="P16" s="203">
        <f t="shared" si="18"/>
        <v>-543</v>
      </c>
      <c r="Q16" s="397">
        <f t="shared" si="0"/>
        <v>-0.30149916712937258</v>
      </c>
      <c r="R16" s="203">
        <v>1634</v>
      </c>
      <c r="S16" s="203">
        <f t="shared" si="1"/>
        <v>376</v>
      </c>
      <c r="T16" s="397">
        <f t="shared" si="2"/>
        <v>0.2988871224165342</v>
      </c>
      <c r="U16" s="203">
        <v>1550</v>
      </c>
      <c r="V16" s="203">
        <f t="shared" si="44"/>
        <v>-84</v>
      </c>
      <c r="W16" s="397">
        <f t="shared" si="19"/>
        <v>-5.1407588739290085E-2</v>
      </c>
      <c r="X16" s="201">
        <v>1800</v>
      </c>
      <c r="Y16" s="203">
        <f t="shared" si="3"/>
        <v>250</v>
      </c>
      <c r="Z16" s="484">
        <f t="shared" si="45"/>
        <v>0.16129032258064516</v>
      </c>
      <c r="AA16" s="203">
        <v>1480</v>
      </c>
      <c r="AB16" s="564">
        <f t="shared" si="4"/>
        <v>-320</v>
      </c>
      <c r="AC16" s="485">
        <f>AB16/X16</f>
        <v>-0.17777777777777778</v>
      </c>
      <c r="AD16" s="418">
        <v>1039</v>
      </c>
      <c r="AE16" s="418"/>
      <c r="AF16" s="203">
        <v>1016</v>
      </c>
      <c r="AG16" s="203">
        <f t="shared" si="20"/>
        <v>-464</v>
      </c>
      <c r="AH16" s="397">
        <f t="shared" si="21"/>
        <v>-0.31351351351351353</v>
      </c>
      <c r="AI16" s="418">
        <v>1039</v>
      </c>
      <c r="AJ16" s="148">
        <v>1039</v>
      </c>
      <c r="AK16" s="354">
        <v>1062</v>
      </c>
      <c r="AM16" s="203">
        <f t="shared" si="22"/>
        <v>1062</v>
      </c>
      <c r="AN16" s="148">
        <v>922</v>
      </c>
      <c r="AO16" s="148">
        <v>922</v>
      </c>
      <c r="AP16" s="418">
        <v>131</v>
      </c>
      <c r="AQ16" s="418">
        <v>20</v>
      </c>
      <c r="AR16" s="418">
        <f t="shared" si="23"/>
        <v>151</v>
      </c>
      <c r="AS16" s="204">
        <f t="shared" si="24"/>
        <v>872.94608000000005</v>
      </c>
      <c r="AT16" s="418">
        <f t="shared" si="25"/>
        <v>-143.05391999999995</v>
      </c>
      <c r="AU16" s="485">
        <f t="shared" si="26"/>
        <v>-0.14080110236220467</v>
      </c>
      <c r="AV16" s="418">
        <f>+AS16-AF16</f>
        <v>-143.05391999999995</v>
      </c>
      <c r="AW16" s="485">
        <f>+AV16/AF16</f>
        <v>-0.14080110236220467</v>
      </c>
      <c r="AX16" s="203">
        <v>771</v>
      </c>
      <c r="AY16" s="203">
        <f t="shared" si="27"/>
        <v>-245</v>
      </c>
      <c r="AZ16" s="397">
        <f t="shared" si="28"/>
        <v>-0.24114173228346455</v>
      </c>
      <c r="BA16" s="560">
        <v>806.53278</v>
      </c>
      <c r="BB16" s="560">
        <v>721.94608000000005</v>
      </c>
      <c r="BC16" s="560">
        <f t="shared" si="29"/>
        <v>84.586699999999951</v>
      </c>
      <c r="BD16" s="304">
        <f t="shared" si="30"/>
        <v>0.10487695242839348</v>
      </c>
      <c r="BE16" s="204">
        <v>2196</v>
      </c>
      <c r="BF16" s="203">
        <f t="shared" si="46"/>
        <v>1425</v>
      </c>
      <c r="BG16" s="397">
        <f t="shared" si="47"/>
        <v>1.8482490272373542</v>
      </c>
      <c r="BH16" s="418">
        <v>102</v>
      </c>
      <c r="BI16" s="418"/>
      <c r="BJ16" s="418"/>
      <c r="BK16" s="418">
        <v>22</v>
      </c>
      <c r="BL16" s="309">
        <f t="shared" si="31"/>
        <v>2320</v>
      </c>
      <c r="BM16" s="309">
        <f t="shared" si="32"/>
        <v>1447.0539199999998</v>
      </c>
      <c r="BN16" s="309">
        <v>2962</v>
      </c>
      <c r="BO16" s="561">
        <v>2962</v>
      </c>
      <c r="BP16" s="206">
        <f t="shared" si="33"/>
        <v>766</v>
      </c>
      <c r="BQ16" s="362">
        <f t="shared" si="8"/>
        <v>1.6576670119189947</v>
      </c>
      <c r="BR16" s="205">
        <f t="shared" si="34"/>
        <v>0.34881602914389798</v>
      </c>
      <c r="BS16" s="309">
        <v>126.34</v>
      </c>
      <c r="BV16" s="309">
        <v>23.507999999999999</v>
      </c>
      <c r="BW16" s="207">
        <f t="shared" ref="BW16:BW56" si="48">BN16+BS16+BT16+BU16+BV16</f>
        <v>3111.848</v>
      </c>
      <c r="BX16" s="206">
        <v>2962</v>
      </c>
      <c r="BY16" s="206"/>
      <c r="BZ16" s="206">
        <v>2133</v>
      </c>
      <c r="CA16" s="206">
        <f t="shared" si="40"/>
        <v>-63</v>
      </c>
      <c r="CB16" s="199">
        <f t="shared" si="41"/>
        <v>-2.8688524590163935E-2</v>
      </c>
      <c r="CC16" s="206">
        <v>2946</v>
      </c>
      <c r="CD16" s="206">
        <v>2946</v>
      </c>
      <c r="CE16" s="206"/>
      <c r="CF16" s="206">
        <v>2314</v>
      </c>
      <c r="CG16" s="206">
        <f t="shared" si="35"/>
        <v>181</v>
      </c>
      <c r="CH16" s="304">
        <f t="shared" si="36"/>
        <v>8.485700890764182E-2</v>
      </c>
      <c r="CI16" s="206">
        <v>3124</v>
      </c>
      <c r="CJ16" s="206">
        <v>-200</v>
      </c>
      <c r="CK16" s="206">
        <f t="shared" si="10"/>
        <v>2924</v>
      </c>
      <c r="CL16" s="206">
        <f t="shared" si="37"/>
        <v>610</v>
      </c>
      <c r="CM16" s="562">
        <f t="shared" si="11"/>
        <v>0.26361279170267932</v>
      </c>
      <c r="CN16" s="200">
        <v>2923</v>
      </c>
      <c r="CO16" s="206">
        <f t="shared" si="38"/>
        <v>-1</v>
      </c>
      <c r="CP16" s="199">
        <f t="shared" si="39"/>
        <v>-3.4199726402188782E-4</v>
      </c>
    </row>
    <row r="17" spans="1:94" ht="18" customHeight="1" x14ac:dyDescent="0.25">
      <c r="A17" s="313" t="s">
        <v>138</v>
      </c>
      <c r="B17" s="302">
        <f>9174+1893</f>
        <v>11067</v>
      </c>
      <c r="C17" s="302">
        <f>8539+1573</f>
        <v>10112</v>
      </c>
      <c r="D17" s="302">
        <f t="shared" si="12"/>
        <v>-955</v>
      </c>
      <c r="E17" s="303">
        <f t="shared" si="13"/>
        <v>-8.6292581548748526E-2</v>
      </c>
      <c r="L17" s="204"/>
      <c r="M17" s="204"/>
      <c r="N17" s="394"/>
      <c r="O17" s="204"/>
      <c r="P17" s="204"/>
      <c r="Q17" s="304"/>
      <c r="R17" s="204"/>
      <c r="S17" s="204"/>
      <c r="T17" s="304"/>
      <c r="U17" s="204"/>
      <c r="V17" s="204"/>
      <c r="W17" s="304"/>
      <c r="Y17" s="204"/>
      <c r="AB17" s="374"/>
      <c r="AD17" s="200"/>
      <c r="AE17" s="200"/>
      <c r="AH17" s="304"/>
      <c r="AI17" s="200"/>
      <c r="AK17" s="354"/>
      <c r="AM17" s="204"/>
      <c r="AP17" s="200"/>
      <c r="AQ17" s="200"/>
      <c r="AR17" s="200">
        <f t="shared" si="23"/>
        <v>0</v>
      </c>
      <c r="AS17" s="204">
        <f t="shared" si="24"/>
        <v>0</v>
      </c>
      <c r="AT17" s="200">
        <f t="shared" si="25"/>
        <v>0</v>
      </c>
      <c r="AU17" s="205" t="e">
        <f t="shared" si="26"/>
        <v>#DIV/0!</v>
      </c>
      <c r="AV17" s="200"/>
      <c r="AW17" s="205"/>
      <c r="AY17" s="204">
        <f t="shared" si="27"/>
        <v>0</v>
      </c>
      <c r="AZ17" s="304" t="e">
        <f t="shared" si="28"/>
        <v>#DIV/0!</v>
      </c>
      <c r="BC17" s="560">
        <f t="shared" si="29"/>
        <v>0</v>
      </c>
      <c r="BF17" s="204">
        <f t="shared" si="46"/>
        <v>0</v>
      </c>
      <c r="BG17" s="304" t="e">
        <f t="shared" si="47"/>
        <v>#DIV/0!</v>
      </c>
      <c r="BH17" s="200"/>
      <c r="BI17" s="200"/>
      <c r="BJ17" s="200"/>
      <c r="BK17" s="200"/>
      <c r="BL17" s="206">
        <f t="shared" si="31"/>
        <v>0</v>
      </c>
      <c r="BM17" s="206">
        <f t="shared" si="32"/>
        <v>0</v>
      </c>
      <c r="BN17" s="206"/>
      <c r="BO17" s="561">
        <v>0</v>
      </c>
      <c r="BP17" s="206">
        <f t="shared" si="33"/>
        <v>0</v>
      </c>
      <c r="BQ17" s="199" t="e">
        <f t="shared" si="8"/>
        <v>#DIV/0!</v>
      </c>
      <c r="BR17" s="205" t="e">
        <f t="shared" si="34"/>
        <v>#DIV/0!</v>
      </c>
      <c r="BV17" s="206"/>
      <c r="BW17" s="207">
        <f t="shared" si="48"/>
        <v>0</v>
      </c>
      <c r="BX17" s="206"/>
      <c r="BY17" s="206"/>
      <c r="BZ17" s="206">
        <f t="shared" si="42"/>
        <v>0</v>
      </c>
      <c r="CA17" s="206">
        <f t="shared" si="40"/>
        <v>0</v>
      </c>
      <c r="CB17" s="199" t="e">
        <f t="shared" si="41"/>
        <v>#DIV/0!</v>
      </c>
      <c r="CC17" s="206"/>
      <c r="CD17" s="206"/>
      <c r="CE17" s="206"/>
      <c r="CF17" s="206">
        <f t="shared" si="43"/>
        <v>0</v>
      </c>
      <c r="CG17" s="206">
        <f t="shared" si="35"/>
        <v>0</v>
      </c>
      <c r="CH17" s="304" t="e">
        <f t="shared" si="36"/>
        <v>#DIV/0!</v>
      </c>
      <c r="CI17" s="206">
        <v>0</v>
      </c>
      <c r="CJ17" s="206"/>
      <c r="CK17" s="206">
        <f t="shared" si="10"/>
        <v>0</v>
      </c>
      <c r="CL17" s="206">
        <f t="shared" si="37"/>
        <v>0</v>
      </c>
      <c r="CM17" s="562" t="e">
        <f t="shared" si="11"/>
        <v>#DIV/0!</v>
      </c>
      <c r="CN17" s="66">
        <v>0</v>
      </c>
      <c r="CO17" s="206">
        <f t="shared" si="38"/>
        <v>0</v>
      </c>
      <c r="CP17" s="199" t="e">
        <f t="shared" si="39"/>
        <v>#DIV/0!</v>
      </c>
    </row>
    <row r="18" spans="1:94" s="148" customFormat="1" ht="18" customHeight="1" x14ac:dyDescent="0.25">
      <c r="A18" s="68" t="s">
        <v>139</v>
      </c>
      <c r="B18" s="567" t="s">
        <v>132</v>
      </c>
      <c r="C18" s="567" t="s">
        <v>132</v>
      </c>
      <c r="D18" s="567" t="s">
        <v>132</v>
      </c>
      <c r="E18" s="567" t="s">
        <v>132</v>
      </c>
      <c r="F18" s="203">
        <f>13692+1290+3486</f>
        <v>18468</v>
      </c>
      <c r="G18" s="203">
        <f>F18-C17</f>
        <v>8356</v>
      </c>
      <c r="H18" s="362">
        <f>(F18-C17)/F18</f>
        <v>0.45245830625947586</v>
      </c>
      <c r="I18" s="203">
        <f>8230+218+2882</f>
        <v>11330</v>
      </c>
      <c r="J18" s="203">
        <f>I18-F18</f>
        <v>-7138</v>
      </c>
      <c r="K18" s="362">
        <f>(I18-F18)/F18</f>
        <v>-0.38650638943036603</v>
      </c>
      <c r="L18" s="203">
        <f>8534+931</f>
        <v>9465</v>
      </c>
      <c r="M18" s="203">
        <f>L18-I18</f>
        <v>-1865</v>
      </c>
      <c r="N18" s="397">
        <f>(L18-I18)/I18</f>
        <v>-0.16460723742277139</v>
      </c>
      <c r="O18" s="203">
        <f>9388+1904</f>
        <v>11292</v>
      </c>
      <c r="P18" s="203">
        <f t="shared" si="18"/>
        <v>1827</v>
      </c>
      <c r="Q18" s="397">
        <f t="shared" si="0"/>
        <v>0.19302694136291601</v>
      </c>
      <c r="R18" s="203">
        <f>9198+1566</f>
        <v>10764</v>
      </c>
      <c r="S18" s="203">
        <f t="shared" si="1"/>
        <v>-528</v>
      </c>
      <c r="T18" s="397">
        <f t="shared" si="2"/>
        <v>-4.6758767268862911E-2</v>
      </c>
      <c r="U18" s="203">
        <f>9428+1804</f>
        <v>11232</v>
      </c>
      <c r="V18" s="203">
        <f t="shared" si="44"/>
        <v>468</v>
      </c>
      <c r="W18" s="397">
        <f t="shared" si="19"/>
        <v>4.3478260869565216E-2</v>
      </c>
      <c r="X18" s="201">
        <v>8883</v>
      </c>
      <c r="Y18" s="203">
        <f t="shared" si="3"/>
        <v>-2349</v>
      </c>
      <c r="Z18" s="484">
        <f t="shared" si="45"/>
        <v>-0.20913461538461539</v>
      </c>
      <c r="AA18" s="203">
        <v>9675</v>
      </c>
      <c r="AB18" s="564">
        <f t="shared" si="4"/>
        <v>792</v>
      </c>
      <c r="AC18" s="485">
        <f>AB18/X18</f>
        <v>8.9159067882472132E-2</v>
      </c>
      <c r="AD18" s="418">
        <v>5408</v>
      </c>
      <c r="AE18" s="418">
        <v>277</v>
      </c>
      <c r="AF18" s="203">
        <v>5414</v>
      </c>
      <c r="AG18" s="203">
        <f t="shared" si="20"/>
        <v>-4261</v>
      </c>
      <c r="AH18" s="397">
        <f t="shared" si="21"/>
        <v>-0.44041343669250643</v>
      </c>
      <c r="AI18" s="418">
        <f>5408-703</f>
        <v>4705</v>
      </c>
      <c r="AJ18" s="148">
        <f>5685-703</f>
        <v>4982</v>
      </c>
      <c r="AK18" s="354">
        <v>5579</v>
      </c>
      <c r="AM18" s="203">
        <f t="shared" si="22"/>
        <v>5579</v>
      </c>
      <c r="AN18" s="148">
        <v>8981</v>
      </c>
      <c r="AO18" s="148">
        <v>9258</v>
      </c>
      <c r="AP18" s="418">
        <v>601</v>
      </c>
      <c r="AQ18" s="418">
        <v>77</v>
      </c>
      <c r="AR18" s="418">
        <f t="shared" si="23"/>
        <v>678</v>
      </c>
      <c r="AS18" s="204">
        <f t="shared" si="24"/>
        <v>8998.8401400000002</v>
      </c>
      <c r="AT18" s="418">
        <f t="shared" si="25"/>
        <v>3584.8401400000002</v>
      </c>
      <c r="AU18" s="485">
        <f t="shared" si="26"/>
        <v>0.66214261913557448</v>
      </c>
      <c r="AV18" s="418">
        <f>+AS18-AF18</f>
        <v>3584.8401400000002</v>
      </c>
      <c r="AW18" s="485">
        <f>+AV18/AF18</f>
        <v>0.66214261913557448</v>
      </c>
      <c r="AX18" s="203">
        <v>8138</v>
      </c>
      <c r="AY18" s="203">
        <f t="shared" si="27"/>
        <v>2724</v>
      </c>
      <c r="AZ18" s="397">
        <f t="shared" si="28"/>
        <v>0.50314000738825271</v>
      </c>
      <c r="BA18" s="560">
        <f>8301.61382+272.7335</f>
        <v>8574.3473200000008</v>
      </c>
      <c r="BB18" s="560">
        <f>8134.66705+186.17309</f>
        <v>8320.8401400000002</v>
      </c>
      <c r="BC18" s="560">
        <f t="shared" si="29"/>
        <v>253.50718000000052</v>
      </c>
      <c r="BD18" s="304">
        <f t="shared" si="30"/>
        <v>2.9565769910986122E-2</v>
      </c>
      <c r="BE18" s="204">
        <v>8660</v>
      </c>
      <c r="BF18" s="203">
        <f t="shared" si="46"/>
        <v>522</v>
      </c>
      <c r="BG18" s="397">
        <f t="shared" si="47"/>
        <v>6.4143524207421976E-2</v>
      </c>
      <c r="BH18" s="418">
        <v>469</v>
      </c>
      <c r="BI18" s="418"/>
      <c r="BJ18" s="418"/>
      <c r="BK18" s="418">
        <v>178</v>
      </c>
      <c r="BL18" s="309">
        <f t="shared" si="31"/>
        <v>9307</v>
      </c>
      <c r="BM18" s="309">
        <f t="shared" si="32"/>
        <v>308.15985999999975</v>
      </c>
      <c r="BN18" s="309">
        <v>7814</v>
      </c>
      <c r="BO18" s="561">
        <v>7814</v>
      </c>
      <c r="BP18" s="206">
        <f t="shared" si="33"/>
        <v>-846</v>
      </c>
      <c r="BQ18" s="362">
        <f t="shared" si="8"/>
        <v>3.424439763411552E-2</v>
      </c>
      <c r="BR18" s="205">
        <f t="shared" si="34"/>
        <v>-9.7690531177829096E-2</v>
      </c>
      <c r="BS18" s="309">
        <v>581.07100000000003</v>
      </c>
      <c r="BV18" s="309">
        <v>333.79399999999998</v>
      </c>
      <c r="BW18" s="207">
        <f t="shared" si="48"/>
        <v>8728.8649999999998</v>
      </c>
      <c r="BX18" s="206">
        <v>7814</v>
      </c>
      <c r="BY18" s="206">
        <v>569</v>
      </c>
      <c r="BZ18" s="206">
        <v>9772</v>
      </c>
      <c r="CA18" s="206">
        <f t="shared" si="40"/>
        <v>1112</v>
      </c>
      <c r="CB18" s="199">
        <f t="shared" si="41"/>
        <v>0.12840646651270207</v>
      </c>
      <c r="CC18" s="206">
        <v>7891</v>
      </c>
      <c r="CD18" s="206">
        <v>7701</v>
      </c>
      <c r="CE18" s="206"/>
      <c r="CF18" s="206">
        <v>8898</v>
      </c>
      <c r="CG18" s="206">
        <f t="shared" si="35"/>
        <v>-874</v>
      </c>
      <c r="CH18" s="304">
        <f t="shared" si="36"/>
        <v>-8.9439214081047894E-2</v>
      </c>
      <c r="CI18" s="206">
        <v>8677</v>
      </c>
      <c r="CJ18" s="206"/>
      <c r="CK18" s="206">
        <f t="shared" si="10"/>
        <v>8677</v>
      </c>
      <c r="CL18" s="206">
        <f t="shared" si="37"/>
        <v>-221</v>
      </c>
      <c r="CM18" s="562">
        <f t="shared" si="11"/>
        <v>-2.4837042031917285E-2</v>
      </c>
      <c r="CN18" s="200">
        <v>8676</v>
      </c>
      <c r="CO18" s="206">
        <f t="shared" si="38"/>
        <v>-1</v>
      </c>
      <c r="CP18" s="199">
        <f t="shared" si="39"/>
        <v>-1.1524720525527257E-4</v>
      </c>
    </row>
    <row r="19" spans="1:94" ht="18" customHeight="1" x14ac:dyDescent="0.25">
      <c r="A19" s="68" t="s">
        <v>140</v>
      </c>
      <c r="B19" s="302">
        <v>3681</v>
      </c>
      <c r="C19" s="302">
        <v>3673</v>
      </c>
      <c r="D19" s="302">
        <f t="shared" si="12"/>
        <v>-8</v>
      </c>
      <c r="E19" s="303">
        <f t="shared" si="13"/>
        <v>-2.1733224667209996E-3</v>
      </c>
      <c r="F19" s="575" t="s">
        <v>132</v>
      </c>
      <c r="G19" s="575" t="s">
        <v>132</v>
      </c>
      <c r="H19" s="575" t="s">
        <v>132</v>
      </c>
      <c r="I19" s="575" t="s">
        <v>132</v>
      </c>
      <c r="J19" s="575" t="s">
        <v>132</v>
      </c>
      <c r="K19" s="575" t="s">
        <v>132</v>
      </c>
      <c r="L19" s="575" t="s">
        <v>132</v>
      </c>
      <c r="M19" s="575" t="s">
        <v>132</v>
      </c>
      <c r="N19" s="575" t="s">
        <v>132</v>
      </c>
      <c r="O19" s="575" t="s">
        <v>132</v>
      </c>
      <c r="P19" s="575" t="s">
        <v>132</v>
      </c>
      <c r="Q19" s="575" t="s">
        <v>132</v>
      </c>
      <c r="R19" s="575" t="s">
        <v>132</v>
      </c>
      <c r="S19" s="575" t="s">
        <v>132</v>
      </c>
      <c r="T19" s="575" t="s">
        <v>132</v>
      </c>
      <c r="U19" s="575" t="s">
        <v>132</v>
      </c>
      <c r="V19" s="575" t="s">
        <v>132</v>
      </c>
      <c r="W19" s="575" t="s">
        <v>132</v>
      </c>
      <c r="X19" s="201" t="s">
        <v>132</v>
      </c>
      <c r="Y19" s="575" t="s">
        <v>132</v>
      </c>
      <c r="Z19" s="201" t="s">
        <v>132</v>
      </c>
      <c r="AA19" s="571" t="s">
        <v>132</v>
      </c>
      <c r="AB19" s="310" t="s">
        <v>132</v>
      </c>
      <c r="AC19" s="395" t="s">
        <v>132</v>
      </c>
      <c r="AG19" s="204" t="e">
        <f t="shared" si="20"/>
        <v>#VALUE!</v>
      </c>
      <c r="AH19" s="304" t="e">
        <f t="shared" si="21"/>
        <v>#VALUE!</v>
      </c>
      <c r="AJ19" s="66">
        <v>0</v>
      </c>
      <c r="AK19" s="354"/>
      <c r="AM19" s="204"/>
      <c r="AP19" s="200"/>
      <c r="AQ19" s="200"/>
      <c r="AR19" s="200">
        <f t="shared" si="23"/>
        <v>0</v>
      </c>
      <c r="AS19" s="204">
        <f t="shared" si="24"/>
        <v>0</v>
      </c>
      <c r="AT19" s="200">
        <f t="shared" si="25"/>
        <v>0</v>
      </c>
      <c r="AU19" s="205" t="e">
        <f t="shared" si="26"/>
        <v>#DIV/0!</v>
      </c>
      <c r="AV19" s="200"/>
      <c r="AW19" s="205"/>
      <c r="AY19" s="204">
        <f t="shared" si="27"/>
        <v>0</v>
      </c>
      <c r="AZ19" s="304" t="e">
        <f t="shared" si="28"/>
        <v>#DIV/0!</v>
      </c>
      <c r="BC19" s="560">
        <f t="shared" si="29"/>
        <v>0</v>
      </c>
      <c r="BF19" s="204">
        <f t="shared" si="46"/>
        <v>0</v>
      </c>
      <c r="BG19" s="304" t="e">
        <f t="shared" si="47"/>
        <v>#DIV/0!</v>
      </c>
      <c r="BI19" s="200"/>
      <c r="BJ19" s="200"/>
      <c r="BK19" s="200"/>
      <c r="BL19" s="206">
        <f>BE19+BH19+BI19+BJ19+BK19</f>
        <v>0</v>
      </c>
      <c r="BM19" s="206">
        <f t="shared" si="32"/>
        <v>0</v>
      </c>
      <c r="BN19" s="206"/>
      <c r="BO19" s="561">
        <v>0</v>
      </c>
      <c r="BP19" s="206">
        <f t="shared" si="33"/>
        <v>0</v>
      </c>
      <c r="BQ19" s="199" t="e">
        <f t="shared" si="8"/>
        <v>#DIV/0!</v>
      </c>
      <c r="BR19" s="205" t="e">
        <f t="shared" si="34"/>
        <v>#DIV/0!</v>
      </c>
      <c r="BV19" s="206"/>
      <c r="BW19" s="207">
        <f t="shared" si="48"/>
        <v>0</v>
      </c>
      <c r="BX19" s="206"/>
      <c r="BY19" s="206"/>
      <c r="BZ19" s="206">
        <f t="shared" si="42"/>
        <v>0</v>
      </c>
      <c r="CA19" s="206">
        <f t="shared" si="40"/>
        <v>0</v>
      </c>
      <c r="CB19" s="199" t="e">
        <f t="shared" si="41"/>
        <v>#DIV/0!</v>
      </c>
      <c r="CC19" s="206"/>
      <c r="CD19" s="206"/>
      <c r="CE19" s="206"/>
      <c r="CF19" s="206">
        <f t="shared" si="43"/>
        <v>0</v>
      </c>
      <c r="CG19" s="206">
        <f t="shared" si="35"/>
        <v>0</v>
      </c>
      <c r="CH19" s="304" t="e">
        <f t="shared" si="36"/>
        <v>#DIV/0!</v>
      </c>
      <c r="CI19" s="206">
        <v>0</v>
      </c>
      <c r="CJ19" s="206"/>
      <c r="CK19" s="206">
        <f t="shared" si="10"/>
        <v>0</v>
      </c>
      <c r="CL19" s="206">
        <f t="shared" si="37"/>
        <v>0</v>
      </c>
      <c r="CM19" s="562" t="e">
        <f t="shared" si="11"/>
        <v>#DIV/0!</v>
      </c>
      <c r="CN19" s="66">
        <v>0</v>
      </c>
      <c r="CO19" s="206">
        <f t="shared" si="38"/>
        <v>0</v>
      </c>
      <c r="CP19" s="199" t="e">
        <f t="shared" si="39"/>
        <v>#DIV/0!</v>
      </c>
    </row>
    <row r="20" spans="1:94" s="148" customFormat="1" ht="18" customHeight="1" x14ac:dyDescent="0.25">
      <c r="A20" s="314" t="s">
        <v>141</v>
      </c>
      <c r="B20" s="567" t="s">
        <v>132</v>
      </c>
      <c r="C20" s="567" t="s">
        <v>132</v>
      </c>
      <c r="D20" s="567" t="s">
        <v>132</v>
      </c>
      <c r="E20" s="567" t="s">
        <v>132</v>
      </c>
      <c r="F20" s="567" t="s">
        <v>132</v>
      </c>
      <c r="G20" s="567" t="s">
        <v>132</v>
      </c>
      <c r="H20" s="567" t="s">
        <v>132</v>
      </c>
      <c r="I20" s="567" t="s">
        <v>132</v>
      </c>
      <c r="J20" s="567" t="s">
        <v>132</v>
      </c>
      <c r="K20" s="567" t="s">
        <v>132</v>
      </c>
      <c r="L20" s="203"/>
      <c r="M20" s="203"/>
      <c r="N20" s="397"/>
      <c r="O20" s="203"/>
      <c r="P20" s="203"/>
      <c r="Q20" s="397"/>
      <c r="R20" s="203"/>
      <c r="S20" s="203"/>
      <c r="T20" s="397"/>
      <c r="U20" s="203"/>
      <c r="V20" s="203"/>
      <c r="W20" s="397"/>
      <c r="X20" s="201">
        <v>566</v>
      </c>
      <c r="Y20" s="203">
        <f t="shared" si="3"/>
        <v>566</v>
      </c>
      <c r="Z20" s="484"/>
      <c r="AA20" s="203">
        <v>1470</v>
      </c>
      <c r="AB20" s="564">
        <f t="shared" si="4"/>
        <v>904</v>
      </c>
      <c r="AC20" s="485">
        <f>AB20/X20</f>
        <v>1.5971731448763251</v>
      </c>
      <c r="AD20" s="418">
        <v>1135</v>
      </c>
      <c r="AE20" s="418"/>
      <c r="AF20" s="203">
        <v>961</v>
      </c>
      <c r="AG20" s="203">
        <f t="shared" si="20"/>
        <v>-509</v>
      </c>
      <c r="AH20" s="397">
        <f t="shared" si="21"/>
        <v>-0.34625850340136055</v>
      </c>
      <c r="AI20" s="418">
        <f>1135-102</f>
        <v>1033</v>
      </c>
      <c r="AJ20" s="148">
        <f>1135-102</f>
        <v>1033</v>
      </c>
      <c r="AK20" s="354">
        <v>1144</v>
      </c>
      <c r="AM20" s="203">
        <f t="shared" si="22"/>
        <v>1144</v>
      </c>
      <c r="AN20" s="148">
        <v>972</v>
      </c>
      <c r="AO20" s="148">
        <v>972</v>
      </c>
      <c r="AP20" s="418">
        <v>20</v>
      </c>
      <c r="AQ20" s="418">
        <v>6</v>
      </c>
      <c r="AR20" s="418">
        <f t="shared" si="23"/>
        <v>26</v>
      </c>
      <c r="AS20" s="204">
        <f t="shared" si="24"/>
        <v>845.15286000000003</v>
      </c>
      <c r="AT20" s="418">
        <f t="shared" si="25"/>
        <v>-115.84713999999997</v>
      </c>
      <c r="AU20" s="485">
        <f t="shared" si="26"/>
        <v>-0.12054853277835585</v>
      </c>
      <c r="AV20" s="418">
        <f t="shared" ref="AV20:AV36" si="49">+AS20-AF20</f>
        <v>-115.84713999999997</v>
      </c>
      <c r="AW20" s="485">
        <f t="shared" ref="AW20:AW36" si="50">+AV20/AF20</f>
        <v>-0.12054853277835585</v>
      </c>
      <c r="AX20" s="203">
        <v>906</v>
      </c>
      <c r="AY20" s="203">
        <f t="shared" si="27"/>
        <v>-55</v>
      </c>
      <c r="AZ20" s="397">
        <f t="shared" si="28"/>
        <v>-5.7232049947970862E-2</v>
      </c>
      <c r="BA20" s="560">
        <v>906.32703000000004</v>
      </c>
      <c r="BB20" s="560">
        <v>819.15286000000003</v>
      </c>
      <c r="BC20" s="560">
        <f t="shared" si="29"/>
        <v>87.174170000000004</v>
      </c>
      <c r="BD20" s="304">
        <f t="shared" si="30"/>
        <v>9.618401207784788E-2</v>
      </c>
      <c r="BE20" s="204">
        <v>924</v>
      </c>
      <c r="BF20" s="203">
        <f t="shared" si="46"/>
        <v>18</v>
      </c>
      <c r="BG20" s="397">
        <f t="shared" si="47"/>
        <v>1.9867549668874173E-2</v>
      </c>
      <c r="BH20" s="418">
        <v>16</v>
      </c>
      <c r="BI20" s="418"/>
      <c r="BJ20" s="418"/>
      <c r="BK20" s="418">
        <v>6</v>
      </c>
      <c r="BL20" s="309">
        <f>BE20+BH20+BI20+BJ20+BK20</f>
        <v>946</v>
      </c>
      <c r="BM20" s="309">
        <f t="shared" si="32"/>
        <v>100.84713999999997</v>
      </c>
      <c r="BN20" s="309">
        <v>970</v>
      </c>
      <c r="BO20" s="561">
        <v>970</v>
      </c>
      <c r="BP20" s="206">
        <f t="shared" si="33"/>
        <v>46</v>
      </c>
      <c r="BQ20" s="362">
        <f t="shared" si="8"/>
        <v>0.119324142143943</v>
      </c>
      <c r="BR20" s="205">
        <f t="shared" si="34"/>
        <v>4.9783549783549784E-2</v>
      </c>
      <c r="BS20" s="309">
        <v>19.227</v>
      </c>
      <c r="BV20" s="309">
        <v>5.38</v>
      </c>
      <c r="BW20" s="207">
        <f t="shared" si="48"/>
        <v>994.60699999999997</v>
      </c>
      <c r="BX20" s="206">
        <v>970</v>
      </c>
      <c r="BY20" s="206"/>
      <c r="BZ20" s="206">
        <v>900</v>
      </c>
      <c r="CA20" s="206">
        <f t="shared" si="40"/>
        <v>-24</v>
      </c>
      <c r="CB20" s="199">
        <f t="shared" si="41"/>
        <v>-2.5974025974025976E-2</v>
      </c>
      <c r="CC20" s="309">
        <v>980</v>
      </c>
      <c r="CD20" s="309">
        <v>980</v>
      </c>
      <c r="CE20" s="309"/>
      <c r="CF20" s="206">
        <v>916</v>
      </c>
      <c r="CG20" s="206">
        <f t="shared" si="35"/>
        <v>16</v>
      </c>
      <c r="CH20" s="304">
        <f t="shared" si="36"/>
        <v>1.7777777777777778E-2</v>
      </c>
      <c r="CI20" s="206">
        <v>1043</v>
      </c>
      <c r="CJ20" s="206"/>
      <c r="CK20" s="206">
        <f t="shared" si="10"/>
        <v>1043</v>
      </c>
      <c r="CL20" s="206">
        <f t="shared" si="37"/>
        <v>127</v>
      </c>
      <c r="CM20" s="562">
        <f t="shared" si="11"/>
        <v>0.13864628820960698</v>
      </c>
      <c r="CN20" s="200">
        <v>1070</v>
      </c>
      <c r="CO20" s="206">
        <f t="shared" si="38"/>
        <v>27</v>
      </c>
      <c r="CP20" s="199">
        <f t="shared" si="39"/>
        <v>2.5886864813039309E-2</v>
      </c>
    </row>
    <row r="21" spans="1:94" s="148" customFormat="1" ht="18" customHeight="1" x14ac:dyDescent="0.25">
      <c r="A21" s="68" t="s">
        <v>142</v>
      </c>
      <c r="B21" s="416">
        <v>373</v>
      </c>
      <c r="C21" s="416">
        <f>7497+525</f>
        <v>8022</v>
      </c>
      <c r="D21" s="416">
        <f t="shared" si="12"/>
        <v>7649</v>
      </c>
      <c r="E21" s="563">
        <f t="shared" si="13"/>
        <v>20.506702412868634</v>
      </c>
      <c r="F21" s="203">
        <f>2000+174</f>
        <v>2174</v>
      </c>
      <c r="G21" s="203">
        <f t="shared" si="14"/>
        <v>-5848</v>
      </c>
      <c r="H21" s="362">
        <f t="shared" si="15"/>
        <v>-2.6899724011039559</v>
      </c>
      <c r="I21" s="203">
        <f>1845+514</f>
        <v>2359</v>
      </c>
      <c r="J21" s="203">
        <f t="shared" si="16"/>
        <v>185</v>
      </c>
      <c r="K21" s="362">
        <f t="shared" si="17"/>
        <v>8.5096596136154556E-2</v>
      </c>
      <c r="L21" s="203">
        <v>4233</v>
      </c>
      <c r="M21" s="203">
        <v>1875</v>
      </c>
      <c r="N21" s="397">
        <v>0.7951653944020356</v>
      </c>
      <c r="O21" s="203">
        <v>9431</v>
      </c>
      <c r="P21" s="203">
        <f t="shared" si="18"/>
        <v>5198</v>
      </c>
      <c r="Q21" s="397">
        <f t="shared" si="0"/>
        <v>1.2279707063548311</v>
      </c>
      <c r="R21" s="203">
        <v>9688</v>
      </c>
      <c r="S21" s="203">
        <f t="shared" si="1"/>
        <v>257</v>
      </c>
      <c r="T21" s="397">
        <f t="shared" si="2"/>
        <v>2.7250556674795885E-2</v>
      </c>
      <c r="U21" s="203">
        <v>8120</v>
      </c>
      <c r="V21" s="203">
        <f t="shared" si="44"/>
        <v>-1568</v>
      </c>
      <c r="W21" s="397">
        <f t="shared" si="19"/>
        <v>-0.16184971098265896</v>
      </c>
      <c r="X21" s="201">
        <v>4971</v>
      </c>
      <c r="Y21" s="203">
        <f t="shared" si="3"/>
        <v>-3149</v>
      </c>
      <c r="Z21" s="484">
        <f>Y21/U21</f>
        <v>-0.38780788177339903</v>
      </c>
      <c r="AA21" s="203">
        <v>4471</v>
      </c>
      <c r="AB21" s="564">
        <f t="shared" si="4"/>
        <v>-500</v>
      </c>
      <c r="AC21" s="485">
        <f>AB21/X21</f>
        <v>-0.10058338362502514</v>
      </c>
      <c r="AD21" s="418">
        <v>4323</v>
      </c>
      <c r="AE21" s="418"/>
      <c r="AF21" s="203">
        <v>4297</v>
      </c>
      <c r="AG21" s="203">
        <f t="shared" si="20"/>
        <v>-174</v>
      </c>
      <c r="AH21" s="397">
        <f t="shared" si="21"/>
        <v>-3.8917468127935582E-2</v>
      </c>
      <c r="AI21" s="418">
        <v>4323</v>
      </c>
      <c r="AJ21" s="148">
        <v>4323</v>
      </c>
      <c r="AK21" s="354">
        <v>4419</v>
      </c>
      <c r="AM21" s="203">
        <f t="shared" si="22"/>
        <v>4419</v>
      </c>
      <c r="AN21" s="148">
        <v>21021</v>
      </c>
      <c r="AO21" s="148">
        <v>21291</v>
      </c>
      <c r="AP21" s="418">
        <v>163</v>
      </c>
      <c r="AQ21" s="418">
        <v>0</v>
      </c>
      <c r="AR21" s="418">
        <f t="shared" si="23"/>
        <v>163</v>
      </c>
      <c r="AS21" s="204">
        <f t="shared" si="24"/>
        <v>18037.010310000001</v>
      </c>
      <c r="AT21" s="418">
        <f t="shared" si="25"/>
        <v>13740.010310000001</v>
      </c>
      <c r="AU21" s="485">
        <f t="shared" si="26"/>
        <v>3.1975821061205494</v>
      </c>
      <c r="AV21" s="418">
        <f t="shared" si="49"/>
        <v>13740.010310000001</v>
      </c>
      <c r="AW21" s="485">
        <f t="shared" si="50"/>
        <v>3.1975821061205494</v>
      </c>
      <c r="AX21" s="203">
        <f>18628</f>
        <v>18628</v>
      </c>
      <c r="AY21" s="203">
        <f t="shared" si="27"/>
        <v>14331</v>
      </c>
      <c r="AZ21" s="397">
        <f t="shared" si="28"/>
        <v>3.3351175238538517</v>
      </c>
      <c r="BA21" s="560">
        <v>18357.07847</v>
      </c>
      <c r="BB21" s="560">
        <v>17874.010310000001</v>
      </c>
      <c r="BC21" s="560">
        <f t="shared" si="29"/>
        <v>483.0681599999989</v>
      </c>
      <c r="BD21" s="304">
        <f t="shared" si="30"/>
        <v>2.6315089342209413E-2</v>
      </c>
      <c r="BE21" s="204">
        <v>16536</v>
      </c>
      <c r="BF21" s="203">
        <f t="shared" si="46"/>
        <v>-2092</v>
      </c>
      <c r="BG21" s="397">
        <f t="shared" si="47"/>
        <v>-0.11230405840669959</v>
      </c>
      <c r="BH21" s="418">
        <v>127</v>
      </c>
      <c r="BI21" s="418"/>
      <c r="BJ21" s="418"/>
      <c r="BK21" s="418">
        <v>35</v>
      </c>
      <c r="BL21" s="309">
        <f t="shared" si="31"/>
        <v>16698</v>
      </c>
      <c r="BM21" s="309">
        <f t="shared" si="32"/>
        <v>-1339.0103100000015</v>
      </c>
      <c r="BN21" s="309">
        <f>19667-1360</f>
        <v>18307</v>
      </c>
      <c r="BO21" s="561">
        <f>19667-1360</f>
        <v>18307</v>
      </c>
      <c r="BP21" s="206">
        <f t="shared" si="33"/>
        <v>1771</v>
      </c>
      <c r="BQ21" s="362">
        <f t="shared" si="8"/>
        <v>-7.4236821235148548E-2</v>
      </c>
      <c r="BR21" s="205">
        <f t="shared" si="34"/>
        <v>0.10709966134494436</v>
      </c>
      <c r="BS21" s="309">
        <v>158.286</v>
      </c>
      <c r="BV21" s="309">
        <v>23.468</v>
      </c>
      <c r="BW21" s="207">
        <f t="shared" si="48"/>
        <v>18488.754000000001</v>
      </c>
      <c r="BX21" s="206">
        <v>19667</v>
      </c>
      <c r="BY21" s="206"/>
      <c r="BZ21" s="206">
        <v>19154</v>
      </c>
      <c r="CA21" s="206">
        <f t="shared" si="40"/>
        <v>2618</v>
      </c>
      <c r="CB21" s="199">
        <f t="shared" si="41"/>
        <v>0.15832123850991775</v>
      </c>
      <c r="CC21" s="206">
        <v>20165</v>
      </c>
      <c r="CD21" s="206">
        <v>19665</v>
      </c>
      <c r="CE21" s="206"/>
      <c r="CF21" s="206">
        <v>19192</v>
      </c>
      <c r="CG21" s="206">
        <f t="shared" si="35"/>
        <v>38</v>
      </c>
      <c r="CH21" s="304">
        <f t="shared" si="36"/>
        <v>1.9839198078730291E-3</v>
      </c>
      <c r="CI21" s="206">
        <v>21709</v>
      </c>
      <c r="CJ21" s="206"/>
      <c r="CK21" s="206">
        <f t="shared" si="10"/>
        <v>21709</v>
      </c>
      <c r="CL21" s="206">
        <f t="shared" si="37"/>
        <v>2517</v>
      </c>
      <c r="CM21" s="562">
        <f t="shared" si="11"/>
        <v>0.13114839516465193</v>
      </c>
      <c r="CN21" s="200">
        <v>21883</v>
      </c>
      <c r="CO21" s="206">
        <f t="shared" si="38"/>
        <v>174</v>
      </c>
      <c r="CP21" s="199">
        <f t="shared" si="39"/>
        <v>8.0151089409922147E-3</v>
      </c>
    </row>
    <row r="22" spans="1:94" ht="18" customHeight="1" x14ac:dyDescent="0.25">
      <c r="A22" s="68" t="s">
        <v>143</v>
      </c>
      <c r="B22" s="310" t="s">
        <v>132</v>
      </c>
      <c r="C22" s="310" t="s">
        <v>132</v>
      </c>
      <c r="D22" s="310" t="s">
        <v>132</v>
      </c>
      <c r="E22" s="310" t="s">
        <v>132</v>
      </c>
      <c r="F22" s="310" t="s">
        <v>132</v>
      </c>
      <c r="G22" s="310" t="s">
        <v>132</v>
      </c>
      <c r="H22" s="310" t="s">
        <v>132</v>
      </c>
      <c r="I22" s="310" t="s">
        <v>132</v>
      </c>
      <c r="J22" s="310" t="s">
        <v>132</v>
      </c>
      <c r="K22" s="310" t="s">
        <v>132</v>
      </c>
      <c r="L22" s="204"/>
      <c r="M22" s="204"/>
      <c r="N22" s="304"/>
      <c r="O22" s="204"/>
      <c r="P22" s="204"/>
      <c r="Q22" s="304"/>
      <c r="R22" s="204"/>
      <c r="S22" s="204"/>
      <c r="T22" s="304"/>
      <c r="U22" s="204"/>
      <c r="V22" s="204"/>
      <c r="W22" s="304"/>
      <c r="Y22" s="204"/>
      <c r="AA22" s="203">
        <v>897</v>
      </c>
      <c r="AB22" s="374">
        <f t="shared" si="4"/>
        <v>897</v>
      </c>
      <c r="AC22" s="395" t="s">
        <v>132</v>
      </c>
      <c r="AD22" s="200">
        <v>642</v>
      </c>
      <c r="AE22" s="200"/>
      <c r="AG22" s="204">
        <f t="shared" si="20"/>
        <v>-897</v>
      </c>
      <c r="AH22" s="304">
        <f t="shared" si="21"/>
        <v>-1</v>
      </c>
      <c r="AI22" s="200">
        <v>642</v>
      </c>
      <c r="AJ22" s="66">
        <v>642</v>
      </c>
      <c r="AK22" s="354">
        <v>702</v>
      </c>
      <c r="AM22" s="204">
        <f t="shared" si="22"/>
        <v>702</v>
      </c>
      <c r="AN22" s="66">
        <v>0</v>
      </c>
      <c r="AO22" s="66">
        <v>0</v>
      </c>
      <c r="AP22" s="200"/>
      <c r="AQ22" s="200"/>
      <c r="AR22" s="200">
        <f t="shared" si="23"/>
        <v>0</v>
      </c>
      <c r="AS22" s="204">
        <f t="shared" si="24"/>
        <v>0</v>
      </c>
      <c r="AT22" s="200">
        <f t="shared" si="25"/>
        <v>0</v>
      </c>
      <c r="AU22" s="205" t="e">
        <f t="shared" si="26"/>
        <v>#DIV/0!</v>
      </c>
      <c r="AV22" s="200">
        <f t="shared" si="49"/>
        <v>0</v>
      </c>
      <c r="AW22" s="205" t="e">
        <f t="shared" si="50"/>
        <v>#DIV/0!</v>
      </c>
      <c r="AY22" s="204">
        <f t="shared" si="27"/>
        <v>0</v>
      </c>
      <c r="AZ22" s="304" t="e">
        <f t="shared" si="28"/>
        <v>#DIV/0!</v>
      </c>
      <c r="BC22" s="560">
        <f t="shared" si="29"/>
        <v>0</v>
      </c>
      <c r="BF22" s="204">
        <f t="shared" si="46"/>
        <v>0</v>
      </c>
      <c r="BG22" s="304" t="e">
        <f t="shared" si="47"/>
        <v>#DIV/0!</v>
      </c>
      <c r="BH22" s="200">
        <v>0</v>
      </c>
      <c r="BI22" s="200"/>
      <c r="BJ22" s="200"/>
      <c r="BK22" s="200"/>
      <c r="BL22" s="206">
        <f t="shared" si="31"/>
        <v>0</v>
      </c>
      <c r="BM22" s="206">
        <f t="shared" si="32"/>
        <v>0</v>
      </c>
      <c r="BN22" s="206"/>
      <c r="BO22" s="561">
        <v>0</v>
      </c>
      <c r="BP22" s="206">
        <f t="shared" si="33"/>
        <v>0</v>
      </c>
      <c r="BQ22" s="199" t="e">
        <f t="shared" si="8"/>
        <v>#DIV/0!</v>
      </c>
      <c r="BR22" s="205" t="e">
        <f t="shared" si="34"/>
        <v>#DIV/0!</v>
      </c>
      <c r="BS22" s="206">
        <v>46.472000000000001</v>
      </c>
      <c r="BV22" s="309">
        <v>6.4279999999999999</v>
      </c>
      <c r="BW22" s="207">
        <f t="shared" si="48"/>
        <v>52.9</v>
      </c>
      <c r="BX22" s="206"/>
      <c r="BY22" s="206"/>
      <c r="BZ22" s="206">
        <f t="shared" si="42"/>
        <v>0</v>
      </c>
      <c r="CA22" s="206">
        <f t="shared" si="40"/>
        <v>0</v>
      </c>
      <c r="CB22" s="199" t="e">
        <f t="shared" si="41"/>
        <v>#DIV/0!</v>
      </c>
      <c r="CC22" s="206"/>
      <c r="CD22" s="206"/>
      <c r="CE22" s="206"/>
      <c r="CF22" s="206">
        <f t="shared" si="43"/>
        <v>0</v>
      </c>
      <c r="CG22" s="206">
        <f t="shared" si="35"/>
        <v>0</v>
      </c>
      <c r="CH22" s="304" t="e">
        <f t="shared" si="36"/>
        <v>#DIV/0!</v>
      </c>
      <c r="CI22" s="206">
        <v>0</v>
      </c>
      <c r="CJ22" s="206"/>
      <c r="CK22" s="206">
        <f t="shared" si="10"/>
        <v>0</v>
      </c>
      <c r="CL22" s="206">
        <f t="shared" si="37"/>
        <v>0</v>
      </c>
      <c r="CM22" s="562" t="e">
        <f t="shared" si="11"/>
        <v>#DIV/0!</v>
      </c>
      <c r="CN22" s="66">
        <v>0</v>
      </c>
      <c r="CO22" s="206">
        <f t="shared" si="38"/>
        <v>0</v>
      </c>
      <c r="CP22" s="199" t="e">
        <f t="shared" si="39"/>
        <v>#DIV/0!</v>
      </c>
    </row>
    <row r="23" spans="1:94" s="148" customFormat="1" ht="18" customHeight="1" x14ac:dyDescent="0.25">
      <c r="A23" s="314" t="s">
        <v>144</v>
      </c>
      <c r="B23" s="416">
        <f>13356+422</f>
        <v>13778</v>
      </c>
      <c r="C23" s="416">
        <v>12717</v>
      </c>
      <c r="D23" s="416">
        <f t="shared" si="12"/>
        <v>-1061</v>
      </c>
      <c r="E23" s="563">
        <f t="shared" si="13"/>
        <v>-7.7006822470605307E-2</v>
      </c>
      <c r="F23" s="203">
        <v>12999</v>
      </c>
      <c r="G23" s="203">
        <f t="shared" si="14"/>
        <v>282</v>
      </c>
      <c r="H23" s="362">
        <f t="shared" si="15"/>
        <v>2.1693976459727673E-2</v>
      </c>
      <c r="I23" s="203">
        <v>11753</v>
      </c>
      <c r="J23" s="203">
        <f t="shared" si="16"/>
        <v>-1246</v>
      </c>
      <c r="K23" s="362">
        <f t="shared" si="17"/>
        <v>-9.5853527194399574E-2</v>
      </c>
      <c r="L23" s="203">
        <v>11868</v>
      </c>
      <c r="M23" s="203">
        <v>115</v>
      </c>
      <c r="N23" s="397">
        <v>9.7847358121330719E-3</v>
      </c>
      <c r="O23" s="203">
        <v>11180</v>
      </c>
      <c r="P23" s="203">
        <f t="shared" si="18"/>
        <v>-688</v>
      </c>
      <c r="Q23" s="397">
        <f t="shared" si="0"/>
        <v>-5.7971014492753624E-2</v>
      </c>
      <c r="R23" s="203">
        <v>12602</v>
      </c>
      <c r="S23" s="203">
        <f t="shared" si="1"/>
        <v>1422</v>
      </c>
      <c r="T23" s="397">
        <f t="shared" si="2"/>
        <v>0.12719141323792488</v>
      </c>
      <c r="U23" s="203">
        <v>12184</v>
      </c>
      <c r="V23" s="203">
        <f t="shared" si="44"/>
        <v>-418</v>
      </c>
      <c r="W23" s="397">
        <f t="shared" si="19"/>
        <v>-3.316933820028567E-2</v>
      </c>
      <c r="X23" s="201">
        <v>6057</v>
      </c>
      <c r="Y23" s="203">
        <f t="shared" ref="Y23:Y35" si="51">X23-U23</f>
        <v>-6127</v>
      </c>
      <c r="Z23" s="484">
        <f t="shared" ref="Z23:Z35" si="52">Y23/U23</f>
        <v>-0.50287261982928433</v>
      </c>
      <c r="AA23" s="203">
        <v>6528</v>
      </c>
      <c r="AB23" s="564">
        <f t="shared" si="4"/>
        <v>471</v>
      </c>
      <c r="AC23" s="485">
        <f t="shared" ref="AC23:AC35" si="53">AB23/X23</f>
        <v>7.7761267954432889E-2</v>
      </c>
      <c r="AD23" s="418">
        <v>3021</v>
      </c>
      <c r="AE23" s="418">
        <v>876</v>
      </c>
      <c r="AF23" s="203">
        <v>3298</v>
      </c>
      <c r="AG23" s="203">
        <f t="shared" si="20"/>
        <v>-3230</v>
      </c>
      <c r="AH23" s="397">
        <f t="shared" si="21"/>
        <v>-0.49479166666666669</v>
      </c>
      <c r="AI23" s="418">
        <v>3021</v>
      </c>
      <c r="AJ23" s="148">
        <v>3897</v>
      </c>
      <c r="AK23" s="354">
        <v>3181</v>
      </c>
      <c r="AM23" s="203">
        <f t="shared" si="22"/>
        <v>3181</v>
      </c>
      <c r="AN23" s="148">
        <v>9901</v>
      </c>
      <c r="AO23" s="148">
        <v>11195</v>
      </c>
      <c r="AP23" s="418">
        <v>651</v>
      </c>
      <c r="AQ23" s="418">
        <v>0</v>
      </c>
      <c r="AR23" s="418">
        <f t="shared" si="23"/>
        <v>651</v>
      </c>
      <c r="AS23" s="204">
        <f t="shared" si="24"/>
        <v>10133.850279999999</v>
      </c>
      <c r="AT23" s="418">
        <f t="shared" si="25"/>
        <v>6835.8502799999987</v>
      </c>
      <c r="AU23" s="485">
        <f t="shared" si="26"/>
        <v>2.0727259793814428</v>
      </c>
      <c r="AV23" s="418">
        <f t="shared" si="49"/>
        <v>6835.8502799999987</v>
      </c>
      <c r="AW23" s="485">
        <f t="shared" si="50"/>
        <v>2.0727259793814428</v>
      </c>
      <c r="AX23" s="203">
        <v>10003</v>
      </c>
      <c r="AY23" s="203">
        <f t="shared" si="27"/>
        <v>6705</v>
      </c>
      <c r="AZ23" s="397">
        <f t="shared" si="28"/>
        <v>2.0330503335354759</v>
      </c>
      <c r="BA23" s="560">
        <f>8752.81651+1350.28907</f>
        <v>10103.105580000001</v>
      </c>
      <c r="BB23" s="560">
        <f>8293.8759+1188.97438</f>
        <v>9482.8502799999987</v>
      </c>
      <c r="BC23" s="560">
        <f t="shared" si="29"/>
        <v>620.25530000000253</v>
      </c>
      <c r="BD23" s="304">
        <f t="shared" si="30"/>
        <v>6.1392538669283354E-2</v>
      </c>
      <c r="BE23" s="204">
        <v>11222</v>
      </c>
      <c r="BF23" s="203">
        <f t="shared" si="46"/>
        <v>1219</v>
      </c>
      <c r="BG23" s="397">
        <f t="shared" si="47"/>
        <v>0.12186344096770969</v>
      </c>
      <c r="BH23" s="418">
        <v>537</v>
      </c>
      <c r="BI23" s="418"/>
      <c r="BJ23" s="418"/>
      <c r="BK23" s="418">
        <v>158</v>
      </c>
      <c r="BL23" s="309">
        <f t="shared" si="31"/>
        <v>11917</v>
      </c>
      <c r="BM23" s="309">
        <f t="shared" si="32"/>
        <v>1783.1497200000013</v>
      </c>
      <c r="BN23" s="309">
        <v>8971</v>
      </c>
      <c r="BO23" s="561">
        <v>8971</v>
      </c>
      <c r="BP23" s="206">
        <f t="shared" si="33"/>
        <v>-2251</v>
      </c>
      <c r="BQ23" s="362">
        <f t="shared" si="8"/>
        <v>0.17595974587459579</v>
      </c>
      <c r="BR23" s="205">
        <f t="shared" si="34"/>
        <v>-0.20058813045802887</v>
      </c>
      <c r="BS23" s="309">
        <v>673.83100000000002</v>
      </c>
      <c r="BV23" s="309">
        <v>111.73</v>
      </c>
      <c r="BW23" s="207">
        <f t="shared" si="48"/>
        <v>9756.5609999999997</v>
      </c>
      <c r="BX23" s="206">
        <v>8971</v>
      </c>
      <c r="BY23" s="206"/>
      <c r="BZ23" s="206">
        <v>10730</v>
      </c>
      <c r="CA23" s="206">
        <f t="shared" si="40"/>
        <v>-492</v>
      </c>
      <c r="CB23" s="199">
        <f t="shared" si="41"/>
        <v>-4.3842452325788629E-2</v>
      </c>
      <c r="CC23" s="206">
        <v>11964</v>
      </c>
      <c r="CD23" s="206">
        <v>11731</v>
      </c>
      <c r="CE23" s="206"/>
      <c r="CF23" s="206">
        <v>12145</v>
      </c>
      <c r="CG23" s="206">
        <f t="shared" si="35"/>
        <v>1415</v>
      </c>
      <c r="CH23" s="304">
        <f t="shared" si="36"/>
        <v>0.13187325256290774</v>
      </c>
      <c r="CI23" s="206">
        <v>17645</v>
      </c>
      <c r="CJ23" s="206">
        <v>-500</v>
      </c>
      <c r="CK23" s="206">
        <f t="shared" si="10"/>
        <v>17145</v>
      </c>
      <c r="CL23" s="206">
        <f t="shared" si="37"/>
        <v>5000</v>
      </c>
      <c r="CM23" s="562">
        <f t="shared" si="11"/>
        <v>0.41169205434335115</v>
      </c>
      <c r="CN23" s="200">
        <f>21343-2177-490</f>
        <v>18676</v>
      </c>
      <c r="CO23" s="206">
        <f t="shared" si="38"/>
        <v>1531</v>
      </c>
      <c r="CP23" s="199">
        <f t="shared" si="39"/>
        <v>8.9297171186934962E-2</v>
      </c>
    </row>
    <row r="24" spans="1:94" s="148" customFormat="1" ht="18" customHeight="1" x14ac:dyDescent="0.25">
      <c r="A24" s="314" t="s">
        <v>145</v>
      </c>
      <c r="B24" s="416">
        <f>22289+156</f>
        <v>22445</v>
      </c>
      <c r="C24" s="416">
        <f>11264+9</f>
        <v>11273</v>
      </c>
      <c r="D24" s="416">
        <f t="shared" si="12"/>
        <v>-11172</v>
      </c>
      <c r="E24" s="563">
        <f t="shared" si="13"/>
        <v>-0.49775005569169078</v>
      </c>
      <c r="F24" s="203">
        <f>13896+2</f>
        <v>13898</v>
      </c>
      <c r="G24" s="203">
        <f t="shared" si="14"/>
        <v>2625</v>
      </c>
      <c r="H24" s="362">
        <f t="shared" si="15"/>
        <v>0.1888760972801842</v>
      </c>
      <c r="I24" s="203">
        <v>13435</v>
      </c>
      <c r="J24" s="203">
        <f t="shared" si="16"/>
        <v>-463</v>
      </c>
      <c r="K24" s="362">
        <f t="shared" si="17"/>
        <v>-3.3314145920276296E-2</v>
      </c>
      <c r="L24" s="203">
        <v>22987</v>
      </c>
      <c r="M24" s="203">
        <v>9552</v>
      </c>
      <c r="N24" s="397">
        <v>0.71097878675102344</v>
      </c>
      <c r="O24" s="203">
        <v>44470</v>
      </c>
      <c r="P24" s="203">
        <f t="shared" si="18"/>
        <v>21483</v>
      </c>
      <c r="Q24" s="397">
        <f t="shared" si="0"/>
        <v>0.93457171444729625</v>
      </c>
      <c r="R24" s="203">
        <v>46515</v>
      </c>
      <c r="S24" s="203">
        <f t="shared" si="1"/>
        <v>2045</v>
      </c>
      <c r="T24" s="397">
        <f t="shared" si="2"/>
        <v>4.5986058016640428E-2</v>
      </c>
      <c r="U24" s="203">
        <v>38140</v>
      </c>
      <c r="V24" s="203">
        <f t="shared" si="44"/>
        <v>-8375</v>
      </c>
      <c r="W24" s="397">
        <f t="shared" si="19"/>
        <v>-0.1800494464151349</v>
      </c>
      <c r="X24" s="201">
        <v>64060</v>
      </c>
      <c r="Y24" s="203">
        <f t="shared" si="51"/>
        <v>25920</v>
      </c>
      <c r="Z24" s="484">
        <f t="shared" si="52"/>
        <v>0.67960146827477719</v>
      </c>
      <c r="AA24" s="576">
        <v>56448</v>
      </c>
      <c r="AB24" s="564">
        <f t="shared" si="4"/>
        <v>-7612</v>
      </c>
      <c r="AC24" s="485">
        <f t="shared" si="53"/>
        <v>-0.11882610053075242</v>
      </c>
      <c r="AD24" s="418">
        <v>41027</v>
      </c>
      <c r="AE24" s="418">
        <v>2025</v>
      </c>
      <c r="AF24" s="203">
        <v>49553</v>
      </c>
      <c r="AG24" s="203">
        <f t="shared" si="20"/>
        <v>-6895</v>
      </c>
      <c r="AH24" s="397">
        <f t="shared" si="21"/>
        <v>-0.12214781746031746</v>
      </c>
      <c r="AI24" s="418">
        <v>41027</v>
      </c>
      <c r="AJ24" s="148">
        <v>43052</v>
      </c>
      <c r="AK24" s="354">
        <v>46111</v>
      </c>
      <c r="AM24" s="203">
        <f t="shared" si="22"/>
        <v>46111</v>
      </c>
      <c r="AN24" s="148">
        <v>34853</v>
      </c>
      <c r="AO24" s="148">
        <v>38168</v>
      </c>
      <c r="AP24" s="418">
        <v>8901</v>
      </c>
      <c r="AQ24" s="418">
        <v>1080</v>
      </c>
      <c r="AR24" s="418">
        <f t="shared" si="23"/>
        <v>9981</v>
      </c>
      <c r="AS24" s="204">
        <f t="shared" si="24"/>
        <v>48550.591870000004</v>
      </c>
      <c r="AT24" s="418">
        <f t="shared" si="25"/>
        <v>-1002.4081299999962</v>
      </c>
      <c r="AU24" s="485">
        <f t="shared" si="26"/>
        <v>-2.0229009948943479E-2</v>
      </c>
      <c r="AV24" s="418">
        <f t="shared" si="49"/>
        <v>-1002.4081299999962</v>
      </c>
      <c r="AW24" s="485">
        <f t="shared" si="50"/>
        <v>-2.0229009948943479E-2</v>
      </c>
      <c r="AX24" s="203">
        <f>33443</f>
        <v>33443</v>
      </c>
      <c r="AY24" s="203">
        <f t="shared" si="27"/>
        <v>-16110</v>
      </c>
      <c r="AZ24" s="397">
        <f t="shared" si="28"/>
        <v>-0.32510645167800134</v>
      </c>
      <c r="BA24" s="560">
        <f>30128.0875+9484.183</f>
        <v>39612.270499999999</v>
      </c>
      <c r="BB24" s="560">
        <f>29756.68794+8812.90393</f>
        <v>38569.591870000004</v>
      </c>
      <c r="BC24" s="560">
        <f t="shared" si="29"/>
        <v>1042.6786299999949</v>
      </c>
      <c r="BD24" s="304">
        <f t="shared" si="30"/>
        <v>2.6322112235399254E-2</v>
      </c>
      <c r="BE24" s="204">
        <v>43043</v>
      </c>
      <c r="BF24" s="203">
        <f t="shared" si="46"/>
        <v>9600</v>
      </c>
      <c r="BG24" s="397">
        <f t="shared" si="47"/>
        <v>0.28705558711838053</v>
      </c>
      <c r="BH24" s="418">
        <v>12374</v>
      </c>
      <c r="BI24" s="418"/>
      <c r="BJ24" s="418"/>
      <c r="BK24" s="418"/>
      <c r="BL24" s="309">
        <f>BE24+BH24+BI24+BJ24+BK24</f>
        <v>55417</v>
      </c>
      <c r="BM24" s="309">
        <f t="shared" si="32"/>
        <v>6866.4081299999962</v>
      </c>
      <c r="BN24" s="309">
        <v>52142</v>
      </c>
      <c r="BO24" s="561">
        <v>50917</v>
      </c>
      <c r="BP24" s="206">
        <f t="shared" si="33"/>
        <v>7874</v>
      </c>
      <c r="BQ24" s="362">
        <f t="shared" si="8"/>
        <v>0.14142789748857484</v>
      </c>
      <c r="BR24" s="205">
        <f t="shared" si="34"/>
        <v>0.18293334572404341</v>
      </c>
      <c r="BS24" s="309">
        <v>10734.111999999999</v>
      </c>
      <c r="BV24" s="309">
        <v>209.56800000000001</v>
      </c>
      <c r="BW24" s="207">
        <f t="shared" si="48"/>
        <v>63085.68</v>
      </c>
      <c r="BX24" s="206">
        <v>50917</v>
      </c>
      <c r="BY24" s="206">
        <v>500</v>
      </c>
      <c r="BZ24" s="206">
        <v>46237</v>
      </c>
      <c r="CA24" s="206">
        <f t="shared" si="40"/>
        <v>3194</v>
      </c>
      <c r="CB24" s="199">
        <f t="shared" si="41"/>
        <v>7.4204864902539316E-2</v>
      </c>
      <c r="CC24" s="206">
        <v>66014</v>
      </c>
      <c r="CD24" s="206">
        <v>64171</v>
      </c>
      <c r="CE24" s="206"/>
      <c r="CF24" s="206">
        <v>59775</v>
      </c>
      <c r="CG24" s="206">
        <f t="shared" si="35"/>
        <v>13538</v>
      </c>
      <c r="CH24" s="304">
        <f t="shared" si="36"/>
        <v>0.29279581287713302</v>
      </c>
      <c r="CI24" s="206">
        <v>70116</v>
      </c>
      <c r="CJ24" s="206"/>
      <c r="CK24" s="206">
        <f t="shared" si="10"/>
        <v>70116</v>
      </c>
      <c r="CL24" s="206">
        <f t="shared" si="37"/>
        <v>10341</v>
      </c>
      <c r="CM24" s="562">
        <f t="shared" si="11"/>
        <v>0.1729987452948557</v>
      </c>
      <c r="CN24" s="200">
        <v>75447</v>
      </c>
      <c r="CO24" s="206">
        <f t="shared" si="38"/>
        <v>5331</v>
      </c>
      <c r="CP24" s="199">
        <f t="shared" si="39"/>
        <v>7.603114838268013E-2</v>
      </c>
    </row>
    <row r="25" spans="1:94" s="148" customFormat="1" ht="18" customHeight="1" x14ac:dyDescent="0.25">
      <c r="A25" s="314" t="s">
        <v>146</v>
      </c>
      <c r="B25" s="416">
        <f>7163+2169</f>
        <v>9332</v>
      </c>
      <c r="C25" s="416">
        <f>12511+11032</f>
        <v>23543</v>
      </c>
      <c r="D25" s="416">
        <f t="shared" si="12"/>
        <v>14211</v>
      </c>
      <c r="E25" s="563">
        <f t="shared" si="13"/>
        <v>1.5228246892413202</v>
      </c>
      <c r="F25" s="203">
        <f>6747+7493</f>
        <v>14240</v>
      </c>
      <c r="G25" s="203">
        <f t="shared" si="14"/>
        <v>-9303</v>
      </c>
      <c r="H25" s="362">
        <f t="shared" si="15"/>
        <v>-0.65330056179775275</v>
      </c>
      <c r="I25" s="203">
        <f>6137+1244</f>
        <v>7381</v>
      </c>
      <c r="J25" s="203">
        <f t="shared" si="16"/>
        <v>-6859</v>
      </c>
      <c r="K25" s="362">
        <f t="shared" si="17"/>
        <v>-0.48167134831460673</v>
      </c>
      <c r="L25" s="203">
        <v>12840</v>
      </c>
      <c r="M25" s="203">
        <v>5459</v>
      </c>
      <c r="N25" s="397">
        <v>0.73960167998916138</v>
      </c>
      <c r="O25" s="203">
        <v>17768</v>
      </c>
      <c r="P25" s="203">
        <f t="shared" si="18"/>
        <v>4928</v>
      </c>
      <c r="Q25" s="397">
        <f t="shared" si="0"/>
        <v>0.38380062305295948</v>
      </c>
      <c r="R25" s="203">
        <v>15891</v>
      </c>
      <c r="S25" s="203">
        <f t="shared" si="1"/>
        <v>-1877</v>
      </c>
      <c r="T25" s="397">
        <f t="shared" si="2"/>
        <v>-0.10563935164340388</v>
      </c>
      <c r="U25" s="203">
        <v>26045</v>
      </c>
      <c r="V25" s="203">
        <f t="shared" si="44"/>
        <v>10154</v>
      </c>
      <c r="W25" s="397">
        <f t="shared" si="19"/>
        <v>0.6389780378830785</v>
      </c>
      <c r="X25" s="201">
        <v>21469</v>
      </c>
      <c r="Y25" s="203">
        <f t="shared" si="51"/>
        <v>-4576</v>
      </c>
      <c r="Z25" s="484">
        <f t="shared" si="52"/>
        <v>-0.17569591092340181</v>
      </c>
      <c r="AA25" s="203">
        <v>31122</v>
      </c>
      <c r="AB25" s="564">
        <f t="shared" si="4"/>
        <v>9653</v>
      </c>
      <c r="AC25" s="485">
        <f t="shared" si="53"/>
        <v>0.4496250407564395</v>
      </c>
      <c r="AD25" s="418">
        <v>21801</v>
      </c>
      <c r="AE25" s="418">
        <v>13407</v>
      </c>
      <c r="AF25" s="203">
        <v>29685</v>
      </c>
      <c r="AG25" s="203">
        <f t="shared" si="20"/>
        <v>-1437</v>
      </c>
      <c r="AH25" s="397">
        <f t="shared" si="21"/>
        <v>-4.6173125120493541E-2</v>
      </c>
      <c r="AI25" s="418">
        <f>21801-2197</f>
        <v>19604</v>
      </c>
      <c r="AJ25" s="148">
        <f>35208-2197</f>
        <v>33011</v>
      </c>
      <c r="AK25" s="354">
        <v>23697</v>
      </c>
      <c r="AM25" s="203">
        <f t="shared" si="22"/>
        <v>23697</v>
      </c>
      <c r="AN25" s="148">
        <v>12209</v>
      </c>
      <c r="AO25" s="148">
        <v>27295</v>
      </c>
      <c r="AP25" s="418">
        <v>7414</v>
      </c>
      <c r="AQ25" s="418">
        <v>601</v>
      </c>
      <c r="AR25" s="418">
        <f t="shared" si="23"/>
        <v>8015</v>
      </c>
      <c r="AS25" s="204">
        <f t="shared" si="24"/>
        <v>8015</v>
      </c>
      <c r="AT25" s="418">
        <f t="shared" si="25"/>
        <v>-21670</v>
      </c>
      <c r="AU25" s="485">
        <f t="shared" si="26"/>
        <v>-0.72999831564763351</v>
      </c>
      <c r="AV25" s="418">
        <f t="shared" si="49"/>
        <v>-21670</v>
      </c>
      <c r="AW25" s="485">
        <f t="shared" si="50"/>
        <v>-0.72999831564763351</v>
      </c>
      <c r="AX25" s="203">
        <f>23873</f>
        <v>23873</v>
      </c>
      <c r="AY25" s="203">
        <f t="shared" si="27"/>
        <v>-5812</v>
      </c>
      <c r="AZ25" s="397">
        <f t="shared" si="28"/>
        <v>-0.19578911908371233</v>
      </c>
      <c r="BA25" s="397"/>
      <c r="BB25" s="397"/>
      <c r="BC25" s="560">
        <f t="shared" si="29"/>
        <v>0</v>
      </c>
      <c r="BD25" s="304"/>
      <c r="BE25" s="203">
        <f>211932-42701-8627</f>
        <v>160604</v>
      </c>
      <c r="BF25" s="203">
        <f t="shared" si="46"/>
        <v>136731</v>
      </c>
      <c r="BG25" s="397">
        <f t="shared" si="47"/>
        <v>5.7274326645163995</v>
      </c>
      <c r="BH25" s="418"/>
      <c r="BI25" s="418"/>
      <c r="BJ25" s="418"/>
      <c r="BK25" s="418">
        <v>376</v>
      </c>
      <c r="BL25" s="309">
        <f t="shared" si="31"/>
        <v>160980</v>
      </c>
      <c r="BM25" s="309">
        <f t="shared" si="32"/>
        <v>152965</v>
      </c>
      <c r="BN25" s="309">
        <f>251379-47782-9794</f>
        <v>193803</v>
      </c>
      <c r="BO25" s="561">
        <f>250917-47782-9794</f>
        <v>193341</v>
      </c>
      <c r="BP25" s="206">
        <f t="shared" si="33"/>
        <v>32737</v>
      </c>
      <c r="BQ25" s="362">
        <f t="shared" si="8"/>
        <v>19.084840923268871</v>
      </c>
      <c r="BR25" s="205">
        <f t="shared" si="34"/>
        <v>0.20383676620756644</v>
      </c>
      <c r="BS25" s="309">
        <v>9462.5709999999999</v>
      </c>
      <c r="BV25" s="309"/>
      <c r="BW25" s="207">
        <f t="shared" si="48"/>
        <v>203265.571</v>
      </c>
      <c r="BX25" s="206">
        <f>250917-42793-9794</f>
        <v>198330</v>
      </c>
      <c r="BY25" s="206">
        <v>92</v>
      </c>
      <c r="BZ25" s="206">
        <f>243269-42793-9794</f>
        <v>190682</v>
      </c>
      <c r="CA25" s="206">
        <f t="shared" si="40"/>
        <v>30078</v>
      </c>
      <c r="CB25" s="199">
        <f t="shared" si="41"/>
        <v>0.18728051605190407</v>
      </c>
      <c r="CC25" s="309">
        <f>268545-46347-10096</f>
        <v>212102</v>
      </c>
      <c r="CD25" s="309">
        <f>266161-45505-10096</f>
        <v>210560</v>
      </c>
      <c r="CE25" s="309"/>
      <c r="CF25" s="206">
        <f>252948-45189-10887</f>
        <v>196872</v>
      </c>
      <c r="CG25" s="206">
        <f t="shared" si="35"/>
        <v>6190</v>
      </c>
      <c r="CH25" s="304">
        <f t="shared" si="36"/>
        <v>3.2462424350489294E-2</v>
      </c>
      <c r="CI25" s="309">
        <f>307184-17105-31916</f>
        <v>258163</v>
      </c>
      <c r="CJ25" s="309">
        <v>-5500</v>
      </c>
      <c r="CK25" s="206">
        <f t="shared" si="10"/>
        <v>252663</v>
      </c>
      <c r="CL25" s="206">
        <f t="shared" si="37"/>
        <v>55791</v>
      </c>
      <c r="CM25" s="562">
        <f t="shared" si="11"/>
        <v>0.28338717542362551</v>
      </c>
      <c r="CN25" s="200">
        <f>334003-31616-17599</f>
        <v>284788</v>
      </c>
      <c r="CO25" s="206">
        <f t="shared" si="38"/>
        <v>32125</v>
      </c>
      <c r="CP25" s="199">
        <f t="shared" si="39"/>
        <v>0.12714564459378699</v>
      </c>
    </row>
    <row r="26" spans="1:94" s="148" customFormat="1" ht="18" customHeight="1" x14ac:dyDescent="0.25">
      <c r="A26" s="68" t="s">
        <v>147</v>
      </c>
      <c r="B26" s="416">
        <v>677</v>
      </c>
      <c r="C26" s="416">
        <v>738</v>
      </c>
      <c r="D26" s="416">
        <f t="shared" si="12"/>
        <v>61</v>
      </c>
      <c r="E26" s="563">
        <f t="shared" si="13"/>
        <v>9.0103397341211228E-2</v>
      </c>
      <c r="F26" s="203">
        <v>676</v>
      </c>
      <c r="G26" s="203">
        <f t="shared" si="14"/>
        <v>-62</v>
      </c>
      <c r="H26" s="362">
        <f t="shared" si="15"/>
        <v>-9.1715976331360943E-2</v>
      </c>
      <c r="I26" s="203">
        <v>568</v>
      </c>
      <c r="J26" s="203">
        <f t="shared" si="16"/>
        <v>-108</v>
      </c>
      <c r="K26" s="362">
        <f t="shared" si="17"/>
        <v>-0.15976331360946747</v>
      </c>
      <c r="L26" s="203">
        <v>716</v>
      </c>
      <c r="M26" s="203">
        <v>148</v>
      </c>
      <c r="N26" s="397">
        <v>0.26056338028169013</v>
      </c>
      <c r="O26" s="203">
        <v>765</v>
      </c>
      <c r="P26" s="203">
        <f t="shared" si="18"/>
        <v>49</v>
      </c>
      <c r="Q26" s="397">
        <f t="shared" si="0"/>
        <v>6.8435754189944131E-2</v>
      </c>
      <c r="R26" s="203">
        <v>746</v>
      </c>
      <c r="S26" s="203">
        <f t="shared" si="1"/>
        <v>-19</v>
      </c>
      <c r="T26" s="397">
        <f t="shared" si="2"/>
        <v>-2.4836601307189541E-2</v>
      </c>
      <c r="U26" s="203">
        <v>776</v>
      </c>
      <c r="V26" s="203">
        <f t="shared" si="44"/>
        <v>30</v>
      </c>
      <c r="W26" s="397">
        <f t="shared" si="19"/>
        <v>4.0214477211796246E-2</v>
      </c>
      <c r="X26" s="201">
        <v>940</v>
      </c>
      <c r="Y26" s="203">
        <f t="shared" si="51"/>
        <v>164</v>
      </c>
      <c r="Z26" s="484">
        <f t="shared" si="52"/>
        <v>0.21134020618556701</v>
      </c>
      <c r="AA26" s="203">
        <v>972</v>
      </c>
      <c r="AB26" s="564">
        <f t="shared" si="4"/>
        <v>32</v>
      </c>
      <c r="AC26" s="485">
        <f t="shared" si="53"/>
        <v>3.4042553191489362E-2</v>
      </c>
      <c r="AD26" s="418">
        <v>1100</v>
      </c>
      <c r="AE26" s="418"/>
      <c r="AF26" s="203">
        <v>1032</v>
      </c>
      <c r="AG26" s="203">
        <f t="shared" si="20"/>
        <v>60</v>
      </c>
      <c r="AH26" s="397">
        <f t="shared" si="21"/>
        <v>6.1728395061728392E-2</v>
      </c>
      <c r="AI26" s="418">
        <v>1100</v>
      </c>
      <c r="AJ26" s="148">
        <v>1100</v>
      </c>
      <c r="AK26" s="354">
        <v>1135</v>
      </c>
      <c r="AM26" s="203">
        <f t="shared" si="22"/>
        <v>1135</v>
      </c>
      <c r="AN26" s="148">
        <v>840</v>
      </c>
      <c r="AO26" s="148">
        <v>840</v>
      </c>
      <c r="AP26" s="418">
        <v>273</v>
      </c>
      <c r="AQ26" s="418">
        <v>1</v>
      </c>
      <c r="AR26" s="418">
        <f t="shared" si="23"/>
        <v>274</v>
      </c>
      <c r="AS26" s="204">
        <f t="shared" si="24"/>
        <v>1038.7491199999999</v>
      </c>
      <c r="AT26" s="418">
        <f t="shared" si="25"/>
        <v>6.749119999999948</v>
      </c>
      <c r="AU26" s="485">
        <f t="shared" si="26"/>
        <v>6.5398449612402597E-3</v>
      </c>
      <c r="AV26" s="418">
        <f t="shared" si="49"/>
        <v>6.749119999999948</v>
      </c>
      <c r="AW26" s="485">
        <f t="shared" si="50"/>
        <v>6.5398449612402597E-3</v>
      </c>
      <c r="AX26" s="203">
        <v>774</v>
      </c>
      <c r="AY26" s="203">
        <f t="shared" si="27"/>
        <v>-258</v>
      </c>
      <c r="AZ26" s="397">
        <f t="shared" si="28"/>
        <v>-0.25</v>
      </c>
      <c r="BA26" s="560">
        <v>774.18453</v>
      </c>
      <c r="BB26" s="560">
        <v>764.74911999999995</v>
      </c>
      <c r="BC26" s="560">
        <f t="shared" si="29"/>
        <v>9.4354100000000471</v>
      </c>
      <c r="BD26" s="304">
        <f t="shared" si="30"/>
        <v>1.2187546553016303E-2</v>
      </c>
      <c r="BE26" s="204">
        <v>835</v>
      </c>
      <c r="BF26" s="203">
        <f t="shared" si="46"/>
        <v>61</v>
      </c>
      <c r="BG26" s="397">
        <f t="shared" si="47"/>
        <v>7.8811369509043924E-2</v>
      </c>
      <c r="BH26" s="418">
        <v>55</v>
      </c>
      <c r="BI26" s="418"/>
      <c r="BJ26" s="418"/>
      <c r="BK26" s="418">
        <v>9</v>
      </c>
      <c r="BL26" s="309">
        <f t="shared" si="31"/>
        <v>899</v>
      </c>
      <c r="BM26" s="309">
        <f t="shared" si="32"/>
        <v>-139.74911999999995</v>
      </c>
      <c r="BN26" s="309">
        <v>847</v>
      </c>
      <c r="BO26" s="561">
        <v>1051</v>
      </c>
      <c r="BP26" s="206">
        <f t="shared" si="33"/>
        <v>216</v>
      </c>
      <c r="BQ26" s="362">
        <f t="shared" si="8"/>
        <v>-0.13453596957078526</v>
      </c>
      <c r="BR26" s="205">
        <f t="shared" si="34"/>
        <v>0.25868263473053893</v>
      </c>
      <c r="BS26" s="309">
        <v>68.522000000000006</v>
      </c>
      <c r="BV26" s="309">
        <v>13.986000000000001</v>
      </c>
      <c r="BW26" s="207">
        <f t="shared" si="48"/>
        <v>929.50800000000004</v>
      </c>
      <c r="BX26" s="206">
        <v>1051</v>
      </c>
      <c r="BY26" s="206"/>
      <c r="BZ26" s="206">
        <v>1041</v>
      </c>
      <c r="CA26" s="206">
        <f t="shared" si="40"/>
        <v>206</v>
      </c>
      <c r="CB26" s="199">
        <f t="shared" si="41"/>
        <v>0.2467065868263473</v>
      </c>
      <c r="CC26" s="206">
        <v>1059</v>
      </c>
      <c r="CD26" s="206">
        <v>1059</v>
      </c>
      <c r="CE26" s="206"/>
      <c r="CF26" s="206">
        <v>1068</v>
      </c>
      <c r="CG26" s="206">
        <f t="shared" si="35"/>
        <v>27</v>
      </c>
      <c r="CH26" s="304">
        <f t="shared" si="36"/>
        <v>2.5936599423631124E-2</v>
      </c>
      <c r="CI26" s="206">
        <v>1426</v>
      </c>
      <c r="CJ26" s="206"/>
      <c r="CK26" s="206">
        <f t="shared" si="10"/>
        <v>1426</v>
      </c>
      <c r="CL26" s="206">
        <f t="shared" si="37"/>
        <v>358</v>
      </c>
      <c r="CM26" s="562">
        <f t="shared" si="11"/>
        <v>0.33520599250936328</v>
      </c>
      <c r="CN26" s="200">
        <v>1449</v>
      </c>
      <c r="CO26" s="206">
        <f t="shared" si="38"/>
        <v>23</v>
      </c>
      <c r="CP26" s="199">
        <f t="shared" si="39"/>
        <v>1.6129032258064516E-2</v>
      </c>
    </row>
    <row r="27" spans="1:94" s="148" customFormat="1" ht="18" customHeight="1" x14ac:dyDescent="0.25">
      <c r="A27" s="68" t="s">
        <v>148</v>
      </c>
      <c r="B27" s="416">
        <f>3214+317</f>
        <v>3531</v>
      </c>
      <c r="C27" s="416">
        <v>3266</v>
      </c>
      <c r="D27" s="416">
        <f t="shared" si="12"/>
        <v>-265</v>
      </c>
      <c r="E27" s="563">
        <f t="shared" si="13"/>
        <v>-7.5049561030869447E-2</v>
      </c>
      <c r="F27" s="203">
        <v>3763</v>
      </c>
      <c r="G27" s="203">
        <f t="shared" si="14"/>
        <v>497</v>
      </c>
      <c r="H27" s="362">
        <f t="shared" si="15"/>
        <v>0.13207547169811321</v>
      </c>
      <c r="I27" s="203">
        <v>3444</v>
      </c>
      <c r="J27" s="203">
        <f t="shared" si="16"/>
        <v>-319</v>
      </c>
      <c r="K27" s="362">
        <f t="shared" si="17"/>
        <v>-8.4772787669412708E-2</v>
      </c>
      <c r="L27" s="203">
        <v>4447</v>
      </c>
      <c r="M27" s="203">
        <v>1003</v>
      </c>
      <c r="N27" s="397">
        <v>0.29123112659698025</v>
      </c>
      <c r="O27" s="203">
        <v>4325</v>
      </c>
      <c r="P27" s="203">
        <f t="shared" si="18"/>
        <v>-122</v>
      </c>
      <c r="Q27" s="397">
        <f t="shared" si="0"/>
        <v>-2.7434225320440746E-2</v>
      </c>
      <c r="R27" s="203">
        <v>4684</v>
      </c>
      <c r="S27" s="203">
        <f t="shared" si="1"/>
        <v>359</v>
      </c>
      <c r="T27" s="397">
        <f t="shared" si="2"/>
        <v>8.3005780346820809E-2</v>
      </c>
      <c r="U27" s="203">
        <v>5964</v>
      </c>
      <c r="V27" s="203">
        <f t="shared" si="44"/>
        <v>1280</v>
      </c>
      <c r="W27" s="397">
        <f t="shared" si="19"/>
        <v>0.27327070879590093</v>
      </c>
      <c r="X27" s="201">
        <v>5245</v>
      </c>
      <c r="Y27" s="203">
        <f t="shared" si="51"/>
        <v>-719</v>
      </c>
      <c r="Z27" s="484">
        <f t="shared" si="52"/>
        <v>-0.12055667337357479</v>
      </c>
      <c r="AA27" s="203">
        <v>5334</v>
      </c>
      <c r="AB27" s="564">
        <f t="shared" si="4"/>
        <v>89</v>
      </c>
      <c r="AC27" s="485">
        <f t="shared" si="53"/>
        <v>1.6968541468064823E-2</v>
      </c>
      <c r="AD27" s="418">
        <v>5193</v>
      </c>
      <c r="AE27" s="418">
        <v>333</v>
      </c>
      <c r="AF27" s="203">
        <v>4995</v>
      </c>
      <c r="AG27" s="203">
        <f t="shared" si="20"/>
        <v>-339</v>
      </c>
      <c r="AH27" s="397">
        <f t="shared" si="21"/>
        <v>-6.3554555680539929E-2</v>
      </c>
      <c r="AI27" s="418">
        <v>5193</v>
      </c>
      <c r="AJ27" s="148">
        <v>5193</v>
      </c>
      <c r="AK27" s="354">
        <v>5247</v>
      </c>
      <c r="AM27" s="203">
        <f t="shared" si="22"/>
        <v>5247</v>
      </c>
      <c r="AN27" s="148">
        <v>3968</v>
      </c>
      <c r="AO27" s="148">
        <v>3968</v>
      </c>
      <c r="AP27" s="418">
        <v>754</v>
      </c>
      <c r="AQ27" s="418">
        <v>75</v>
      </c>
      <c r="AR27" s="418">
        <f t="shared" si="23"/>
        <v>829</v>
      </c>
      <c r="AS27" s="204">
        <f t="shared" si="24"/>
        <v>5364.7534599999999</v>
      </c>
      <c r="AT27" s="418">
        <f t="shared" si="25"/>
        <v>369.7534599999999</v>
      </c>
      <c r="AU27" s="485">
        <f t="shared" si="26"/>
        <v>7.4024716716716704E-2</v>
      </c>
      <c r="AV27" s="418">
        <f t="shared" si="49"/>
        <v>369.7534599999999</v>
      </c>
      <c r="AW27" s="485">
        <f t="shared" si="50"/>
        <v>7.4024716716716704E-2</v>
      </c>
      <c r="AX27" s="203">
        <v>4085</v>
      </c>
      <c r="AY27" s="203">
        <f t="shared" si="27"/>
        <v>-910</v>
      </c>
      <c r="AZ27" s="397">
        <f t="shared" si="28"/>
        <v>-0.18218218218218218</v>
      </c>
      <c r="BA27" s="560">
        <v>4774.0706600000003</v>
      </c>
      <c r="BB27" s="560">
        <v>4535.7534599999999</v>
      </c>
      <c r="BC27" s="560">
        <f t="shared" si="29"/>
        <v>238.31720000000041</v>
      </c>
      <c r="BD27" s="304">
        <f t="shared" si="30"/>
        <v>4.9919076815675034E-2</v>
      </c>
      <c r="BE27" s="204">
        <v>5278</v>
      </c>
      <c r="BF27" s="203">
        <f t="shared" si="46"/>
        <v>1193</v>
      </c>
      <c r="BG27" s="397">
        <f t="shared" si="47"/>
        <v>0.2920440636474908</v>
      </c>
      <c r="BH27" s="418">
        <v>1104</v>
      </c>
      <c r="BI27" s="418"/>
      <c r="BJ27" s="418"/>
      <c r="BK27" s="418">
        <v>17</v>
      </c>
      <c r="BL27" s="309">
        <f>BE27+BH27+BI27+BJ27+BK27</f>
        <v>6399</v>
      </c>
      <c r="BM27" s="309">
        <f>BL27-AS27</f>
        <v>1034.2465400000001</v>
      </c>
      <c r="BN27" s="309">
        <v>5836</v>
      </c>
      <c r="BO27" s="561">
        <v>5812</v>
      </c>
      <c r="BP27" s="206">
        <f t="shared" si="33"/>
        <v>534</v>
      </c>
      <c r="BQ27" s="362">
        <f t="shared" si="8"/>
        <v>0.19278547424619213</v>
      </c>
      <c r="BR27" s="205">
        <f t="shared" si="34"/>
        <v>0.10117468738158393</v>
      </c>
      <c r="BS27" s="309">
        <v>965.19299999999998</v>
      </c>
      <c r="BV27" s="309">
        <v>17.212</v>
      </c>
      <c r="BW27" s="207">
        <f t="shared" si="48"/>
        <v>6818.4050000000007</v>
      </c>
      <c r="BX27" s="206">
        <v>5812</v>
      </c>
      <c r="BY27" s="206"/>
      <c r="BZ27" s="206">
        <v>6801</v>
      </c>
      <c r="CA27" s="206">
        <f t="shared" si="40"/>
        <v>1523</v>
      </c>
      <c r="CB27" s="199">
        <f t="shared" si="41"/>
        <v>0.28855627131489203</v>
      </c>
      <c r="CC27" s="206">
        <v>6430</v>
      </c>
      <c r="CD27" s="206">
        <v>6615</v>
      </c>
      <c r="CE27" s="206"/>
      <c r="CF27" s="206">
        <v>6976</v>
      </c>
      <c r="CG27" s="206">
        <f t="shared" si="35"/>
        <v>175</v>
      </c>
      <c r="CH27" s="304">
        <f t="shared" si="36"/>
        <v>2.5731510072048228E-2</v>
      </c>
      <c r="CI27" s="206">
        <v>7240</v>
      </c>
      <c r="CJ27" s="206"/>
      <c r="CK27" s="206">
        <f t="shared" si="10"/>
        <v>7240</v>
      </c>
      <c r="CL27" s="206">
        <f t="shared" si="37"/>
        <v>264</v>
      </c>
      <c r="CM27" s="562">
        <f t="shared" si="11"/>
        <v>3.7844036697247709E-2</v>
      </c>
      <c r="CN27" s="200">
        <v>7390</v>
      </c>
      <c r="CO27" s="206">
        <f t="shared" si="38"/>
        <v>150</v>
      </c>
      <c r="CP27" s="199">
        <f t="shared" si="39"/>
        <v>2.0718232044198894E-2</v>
      </c>
    </row>
    <row r="28" spans="1:94" s="148" customFormat="1" ht="18" customHeight="1" x14ac:dyDescent="0.25">
      <c r="A28" s="68" t="s">
        <v>149</v>
      </c>
      <c r="B28" s="416">
        <v>954</v>
      </c>
      <c r="C28" s="416">
        <v>1260</v>
      </c>
      <c r="D28" s="416">
        <f t="shared" si="12"/>
        <v>306</v>
      </c>
      <c r="E28" s="563">
        <f t="shared" si="13"/>
        <v>0.32075471698113206</v>
      </c>
      <c r="F28" s="203">
        <v>1290</v>
      </c>
      <c r="G28" s="203">
        <f t="shared" si="14"/>
        <v>30</v>
      </c>
      <c r="H28" s="362">
        <f t="shared" si="15"/>
        <v>2.3255813953488372E-2</v>
      </c>
      <c r="I28" s="203">
        <v>1245</v>
      </c>
      <c r="J28" s="203">
        <f t="shared" si="16"/>
        <v>-45</v>
      </c>
      <c r="K28" s="362">
        <f t="shared" si="17"/>
        <v>-3.4883720930232558E-2</v>
      </c>
      <c r="L28" s="203">
        <v>1279</v>
      </c>
      <c r="M28" s="203">
        <v>34</v>
      </c>
      <c r="N28" s="397">
        <v>2.7309236947791166E-2</v>
      </c>
      <c r="O28" s="203">
        <v>1292</v>
      </c>
      <c r="P28" s="203">
        <f t="shared" si="18"/>
        <v>13</v>
      </c>
      <c r="Q28" s="397">
        <f t="shared" si="0"/>
        <v>1.0164190774042221E-2</v>
      </c>
      <c r="R28" s="203">
        <v>1414</v>
      </c>
      <c r="S28" s="203">
        <f t="shared" si="1"/>
        <v>122</v>
      </c>
      <c r="T28" s="397">
        <f t="shared" si="2"/>
        <v>9.4427244582043338E-2</v>
      </c>
      <c r="U28" s="203">
        <v>1495</v>
      </c>
      <c r="V28" s="203">
        <f t="shared" si="44"/>
        <v>81</v>
      </c>
      <c r="W28" s="397">
        <f t="shared" si="19"/>
        <v>5.7284299858557285E-2</v>
      </c>
      <c r="X28" s="201">
        <v>1589</v>
      </c>
      <c r="Y28" s="203">
        <f t="shared" si="51"/>
        <v>94</v>
      </c>
      <c r="Z28" s="484">
        <f t="shared" si="52"/>
        <v>6.2876254180602012E-2</v>
      </c>
      <c r="AA28" s="203">
        <v>1721</v>
      </c>
      <c r="AB28" s="564">
        <f t="shared" si="4"/>
        <v>132</v>
      </c>
      <c r="AC28" s="485">
        <f t="shared" si="53"/>
        <v>8.3071113908118319E-2</v>
      </c>
      <c r="AD28" s="418">
        <v>1690</v>
      </c>
      <c r="AE28" s="418"/>
      <c r="AF28" s="203">
        <v>1636</v>
      </c>
      <c r="AG28" s="203">
        <f t="shared" si="20"/>
        <v>-85</v>
      </c>
      <c r="AH28" s="397">
        <f t="shared" si="21"/>
        <v>-4.9389889599070307E-2</v>
      </c>
      <c r="AI28" s="418">
        <v>1690</v>
      </c>
      <c r="AJ28" s="148">
        <v>1690</v>
      </c>
      <c r="AK28" s="354">
        <v>1702</v>
      </c>
      <c r="AM28" s="203">
        <f t="shared" si="22"/>
        <v>1702</v>
      </c>
      <c r="AN28" s="148">
        <v>1395</v>
      </c>
      <c r="AO28" s="148">
        <v>1395</v>
      </c>
      <c r="AP28" s="418">
        <v>168</v>
      </c>
      <c r="AQ28" s="418">
        <v>2</v>
      </c>
      <c r="AR28" s="418">
        <f t="shared" si="23"/>
        <v>170</v>
      </c>
      <c r="AS28" s="204">
        <f t="shared" si="24"/>
        <v>1543.7620399999998</v>
      </c>
      <c r="AT28" s="418">
        <f t="shared" si="25"/>
        <v>-92.237960000000157</v>
      </c>
      <c r="AU28" s="485">
        <f t="shared" si="26"/>
        <v>-5.6380171149144349E-2</v>
      </c>
      <c r="AV28" s="418">
        <f t="shared" si="49"/>
        <v>-92.237960000000157</v>
      </c>
      <c r="AW28" s="485">
        <f t="shared" si="50"/>
        <v>-5.6380171149144349E-2</v>
      </c>
      <c r="AX28" s="203">
        <v>1415</v>
      </c>
      <c r="AY28" s="203">
        <f t="shared" si="27"/>
        <v>-221</v>
      </c>
      <c r="AZ28" s="397">
        <f t="shared" si="28"/>
        <v>-0.13508557457212714</v>
      </c>
      <c r="BA28" s="560">
        <f>1324.97443+90</f>
        <v>1414.97443</v>
      </c>
      <c r="BB28" s="560">
        <f>1324.88693+48.87511</f>
        <v>1373.7620399999998</v>
      </c>
      <c r="BC28" s="560">
        <f t="shared" si="29"/>
        <v>41.212390000000141</v>
      </c>
      <c r="BD28" s="304">
        <f>BC28/BA28</f>
        <v>2.9125890281989152E-2</v>
      </c>
      <c r="BE28" s="204">
        <v>1394</v>
      </c>
      <c r="BF28" s="203">
        <f t="shared" si="46"/>
        <v>-21</v>
      </c>
      <c r="BG28" s="397">
        <f t="shared" si="47"/>
        <v>-1.4840989399293287E-2</v>
      </c>
      <c r="BH28" s="418">
        <v>157</v>
      </c>
      <c r="BI28" s="418"/>
      <c r="BJ28" s="418"/>
      <c r="BK28" s="418">
        <v>12</v>
      </c>
      <c r="BL28" s="309">
        <f t="shared" si="31"/>
        <v>1563</v>
      </c>
      <c r="BM28" s="309">
        <f t="shared" si="32"/>
        <v>19.237960000000157</v>
      </c>
      <c r="BN28" s="309">
        <v>1474</v>
      </c>
      <c r="BO28" s="561">
        <v>2601</v>
      </c>
      <c r="BP28" s="206">
        <f t="shared" si="33"/>
        <v>1207</v>
      </c>
      <c r="BQ28" s="362">
        <f t="shared" si="8"/>
        <v>1.2461739245771427E-2</v>
      </c>
      <c r="BR28" s="205">
        <f t="shared" si="34"/>
        <v>0.86585365853658536</v>
      </c>
      <c r="BS28" s="309">
        <v>157.97800000000001</v>
      </c>
      <c r="BV28" s="309">
        <v>12.385999999999999</v>
      </c>
      <c r="BW28" s="207">
        <f t="shared" si="48"/>
        <v>1644.364</v>
      </c>
      <c r="BX28" s="206">
        <v>2601</v>
      </c>
      <c r="BY28" s="206"/>
      <c r="BZ28" s="206">
        <v>2017</v>
      </c>
      <c r="CA28" s="206">
        <f t="shared" si="40"/>
        <v>623</v>
      </c>
      <c r="CB28" s="199">
        <f t="shared" si="41"/>
        <v>0.44691535150645623</v>
      </c>
      <c r="CC28" s="206">
        <v>2629</v>
      </c>
      <c r="CD28" s="206">
        <v>2629</v>
      </c>
      <c r="CE28" s="206"/>
      <c r="CF28" s="206">
        <v>2593</v>
      </c>
      <c r="CG28" s="206">
        <f t="shared" si="35"/>
        <v>576</v>
      </c>
      <c r="CH28" s="304">
        <f t="shared" si="36"/>
        <v>0.28557263262270699</v>
      </c>
      <c r="CI28" s="206">
        <v>2798</v>
      </c>
      <c r="CJ28" s="206">
        <v>-200</v>
      </c>
      <c r="CK28" s="206">
        <f t="shared" si="10"/>
        <v>2598</v>
      </c>
      <c r="CL28" s="206">
        <f t="shared" si="37"/>
        <v>5</v>
      </c>
      <c r="CM28" s="562">
        <f t="shared" si="11"/>
        <v>1.9282684149633628E-3</v>
      </c>
      <c r="CN28" s="200">
        <v>2677</v>
      </c>
      <c r="CO28" s="206">
        <f t="shared" si="38"/>
        <v>79</v>
      </c>
      <c r="CP28" s="199">
        <f t="shared" si="39"/>
        <v>3.0408006158583526E-2</v>
      </c>
    </row>
    <row r="29" spans="1:94" ht="18" customHeight="1" x14ac:dyDescent="0.25">
      <c r="A29" s="68" t="s">
        <v>150</v>
      </c>
      <c r="B29" s="302">
        <v>494</v>
      </c>
      <c r="C29" s="302">
        <v>586</v>
      </c>
      <c r="D29" s="302">
        <f t="shared" si="12"/>
        <v>92</v>
      </c>
      <c r="E29" s="303">
        <f t="shared" si="13"/>
        <v>0.18623481781376519</v>
      </c>
      <c r="F29" s="204">
        <v>623</v>
      </c>
      <c r="G29" s="204">
        <f t="shared" si="14"/>
        <v>37</v>
      </c>
      <c r="H29" s="199">
        <f t="shared" si="15"/>
        <v>5.93900481540931E-2</v>
      </c>
      <c r="I29" s="204">
        <v>624</v>
      </c>
      <c r="J29" s="204">
        <f t="shared" si="16"/>
        <v>1</v>
      </c>
      <c r="K29" s="199">
        <f t="shared" si="17"/>
        <v>1.6051364365971107E-3</v>
      </c>
      <c r="L29" s="204">
        <v>653</v>
      </c>
      <c r="M29" s="204">
        <v>29</v>
      </c>
      <c r="N29" s="304">
        <v>4.6474358974358976E-2</v>
      </c>
      <c r="O29" s="204">
        <v>682</v>
      </c>
      <c r="P29" s="204">
        <f t="shared" si="18"/>
        <v>29</v>
      </c>
      <c r="Q29" s="304">
        <f t="shared" si="0"/>
        <v>4.44104134762634E-2</v>
      </c>
      <c r="R29" s="204">
        <v>767</v>
      </c>
      <c r="S29" s="204">
        <f t="shared" si="1"/>
        <v>85</v>
      </c>
      <c r="T29" s="304">
        <f t="shared" si="2"/>
        <v>0.12463343108504399</v>
      </c>
      <c r="U29" s="204">
        <v>807</v>
      </c>
      <c r="V29" s="204">
        <f t="shared" si="44"/>
        <v>40</v>
      </c>
      <c r="W29" s="304">
        <f t="shared" si="19"/>
        <v>5.215123859191656E-2</v>
      </c>
      <c r="X29" s="201">
        <v>922</v>
      </c>
      <c r="Y29" s="204">
        <f t="shared" si="51"/>
        <v>115</v>
      </c>
      <c r="Z29" s="484">
        <f t="shared" si="52"/>
        <v>0.14250309789343246</v>
      </c>
      <c r="AA29" s="203">
        <v>980</v>
      </c>
      <c r="AB29" s="374">
        <f t="shared" si="4"/>
        <v>58</v>
      </c>
      <c r="AC29" s="205">
        <f t="shared" si="53"/>
        <v>6.2906724511930592E-2</v>
      </c>
      <c r="AD29" s="200">
        <v>1004</v>
      </c>
      <c r="AE29" s="200"/>
      <c r="AF29" s="204">
        <v>1055</v>
      </c>
      <c r="AG29" s="204">
        <f t="shared" si="20"/>
        <v>75</v>
      </c>
      <c r="AH29" s="304">
        <f t="shared" si="21"/>
        <v>7.6530612244897961E-2</v>
      </c>
      <c r="AI29" s="200">
        <v>1004</v>
      </c>
      <c r="AJ29" s="66">
        <v>1004</v>
      </c>
      <c r="AK29" s="354">
        <v>971</v>
      </c>
      <c r="AM29" s="204">
        <f t="shared" si="22"/>
        <v>971</v>
      </c>
      <c r="AN29" s="66">
        <v>0</v>
      </c>
      <c r="AO29" s="66">
        <v>0</v>
      </c>
      <c r="AP29" s="200"/>
      <c r="AQ29" s="200"/>
      <c r="AR29" s="200">
        <f t="shared" si="23"/>
        <v>0</v>
      </c>
      <c r="AS29" s="204">
        <f t="shared" si="24"/>
        <v>733.01909999999998</v>
      </c>
      <c r="AT29" s="200">
        <f t="shared" si="25"/>
        <v>-321.98090000000002</v>
      </c>
      <c r="AU29" s="205">
        <f t="shared" si="26"/>
        <v>-0.30519516587677725</v>
      </c>
      <c r="AV29" s="200">
        <f t="shared" si="49"/>
        <v>-321.98090000000002</v>
      </c>
      <c r="AW29" s="205">
        <f t="shared" si="50"/>
        <v>-0.30519516587677725</v>
      </c>
      <c r="AX29" s="204">
        <v>869</v>
      </c>
      <c r="AY29" s="204">
        <f t="shared" si="27"/>
        <v>-186</v>
      </c>
      <c r="AZ29" s="304">
        <f t="shared" si="28"/>
        <v>-0.17630331753554501</v>
      </c>
      <c r="BA29" s="560">
        <v>828.75769000000003</v>
      </c>
      <c r="BB29" s="560">
        <v>733.01909999999998</v>
      </c>
      <c r="BC29" s="560">
        <f t="shared" si="29"/>
        <v>95.738590000000045</v>
      </c>
      <c r="BD29" s="304">
        <f t="shared" si="30"/>
        <v>0.11552060530503197</v>
      </c>
      <c r="BE29" s="204">
        <v>1114</v>
      </c>
      <c r="BF29" s="204">
        <f t="shared" si="46"/>
        <v>245</v>
      </c>
      <c r="BG29" s="304">
        <f t="shared" si="47"/>
        <v>0.28193325661680091</v>
      </c>
      <c r="BH29" s="200">
        <v>0</v>
      </c>
      <c r="BI29" s="200"/>
      <c r="BJ29" s="200"/>
      <c r="BK29" s="200">
        <v>8</v>
      </c>
      <c r="BL29" s="206">
        <f t="shared" si="31"/>
        <v>1122</v>
      </c>
      <c r="BM29" s="206">
        <f t="shared" si="32"/>
        <v>388.98090000000002</v>
      </c>
      <c r="BN29" s="206">
        <v>971</v>
      </c>
      <c r="BO29" s="561">
        <v>1151</v>
      </c>
      <c r="BP29" s="206">
        <f t="shared" si="33"/>
        <v>37</v>
      </c>
      <c r="BQ29" s="199">
        <f t="shared" si="8"/>
        <v>0.53065588604717129</v>
      </c>
      <c r="BR29" s="205">
        <f t="shared" si="34"/>
        <v>3.3213644524236981E-2</v>
      </c>
      <c r="BS29" s="206">
        <v>182.339</v>
      </c>
      <c r="BV29" s="309">
        <v>7.9039999999999999</v>
      </c>
      <c r="BW29" s="207">
        <f t="shared" si="48"/>
        <v>1161.2429999999999</v>
      </c>
      <c r="BX29" s="206">
        <v>1151</v>
      </c>
      <c r="BY29" s="206"/>
      <c r="BZ29" s="206">
        <v>1037</v>
      </c>
      <c r="CA29" s="206">
        <f t="shared" si="40"/>
        <v>-77</v>
      </c>
      <c r="CB29" s="199">
        <f t="shared" si="41"/>
        <v>-6.9120287253141829E-2</v>
      </c>
      <c r="CC29" s="206">
        <v>1162</v>
      </c>
      <c r="CD29" s="206">
        <v>1162</v>
      </c>
      <c r="CE29" s="206"/>
      <c r="CF29" s="206">
        <v>1163</v>
      </c>
      <c r="CG29" s="206">
        <f t="shared" si="35"/>
        <v>126</v>
      </c>
      <c r="CH29" s="304">
        <f t="shared" si="36"/>
        <v>0.12150433944069432</v>
      </c>
      <c r="CI29" s="206">
        <v>1253</v>
      </c>
      <c r="CJ29" s="206"/>
      <c r="CK29" s="206">
        <f t="shared" si="10"/>
        <v>1253</v>
      </c>
      <c r="CL29" s="206">
        <f t="shared" si="37"/>
        <v>90</v>
      </c>
      <c r="CM29" s="562">
        <f t="shared" si="11"/>
        <v>7.7386070507308682E-2</v>
      </c>
      <c r="CN29" s="200">
        <v>1249</v>
      </c>
      <c r="CO29" s="206">
        <f t="shared" si="38"/>
        <v>-4</v>
      </c>
      <c r="CP29" s="199">
        <f t="shared" si="39"/>
        <v>-3.1923383878691143E-3</v>
      </c>
    </row>
    <row r="30" spans="1:94" ht="18" customHeight="1" x14ac:dyDescent="0.25">
      <c r="A30" s="68" t="s">
        <v>151</v>
      </c>
      <c r="B30" s="302">
        <v>1339</v>
      </c>
      <c r="C30" s="302">
        <v>1400</v>
      </c>
      <c r="D30" s="302">
        <f t="shared" si="12"/>
        <v>61</v>
      </c>
      <c r="E30" s="303">
        <f t="shared" si="13"/>
        <v>4.5556385362210607E-2</v>
      </c>
      <c r="F30" s="204">
        <v>1485</v>
      </c>
      <c r="G30" s="204">
        <f t="shared" si="14"/>
        <v>85</v>
      </c>
      <c r="H30" s="199">
        <f t="shared" si="15"/>
        <v>5.7239057239057242E-2</v>
      </c>
      <c r="I30" s="204">
        <v>1439</v>
      </c>
      <c r="J30" s="204">
        <f t="shared" si="16"/>
        <v>-46</v>
      </c>
      <c r="K30" s="199">
        <f t="shared" si="17"/>
        <v>-3.0976430976430977E-2</v>
      </c>
      <c r="L30" s="204">
        <v>1446</v>
      </c>
      <c r="M30" s="204">
        <v>7</v>
      </c>
      <c r="N30" s="304">
        <v>4.864489228630994E-3</v>
      </c>
      <c r="O30" s="204">
        <v>1438</v>
      </c>
      <c r="P30" s="204">
        <f t="shared" si="18"/>
        <v>-8</v>
      </c>
      <c r="Q30" s="304">
        <f t="shared" si="0"/>
        <v>-5.5325034578146614E-3</v>
      </c>
      <c r="R30" s="204">
        <v>1578</v>
      </c>
      <c r="S30" s="204">
        <f t="shared" si="1"/>
        <v>140</v>
      </c>
      <c r="T30" s="304">
        <f t="shared" si="2"/>
        <v>9.7357440890125171E-2</v>
      </c>
      <c r="U30" s="204">
        <v>1652</v>
      </c>
      <c r="V30" s="204">
        <f t="shared" si="44"/>
        <v>74</v>
      </c>
      <c r="W30" s="304">
        <f t="shared" si="19"/>
        <v>4.6894803548795945E-2</v>
      </c>
      <c r="X30" s="201">
        <v>1775</v>
      </c>
      <c r="Y30" s="204">
        <f t="shared" si="51"/>
        <v>123</v>
      </c>
      <c r="Z30" s="484">
        <f t="shared" si="52"/>
        <v>7.4455205811138014E-2</v>
      </c>
      <c r="AA30" s="203">
        <v>1778</v>
      </c>
      <c r="AB30" s="374">
        <f t="shared" si="4"/>
        <v>3</v>
      </c>
      <c r="AC30" s="205">
        <f t="shared" si="53"/>
        <v>1.6901408450704226E-3</v>
      </c>
      <c r="AD30" s="200">
        <v>1798</v>
      </c>
      <c r="AE30" s="200"/>
      <c r="AF30" s="204">
        <v>1753</v>
      </c>
      <c r="AG30" s="204">
        <f t="shared" si="20"/>
        <v>-25</v>
      </c>
      <c r="AH30" s="304">
        <f t="shared" si="21"/>
        <v>-1.40607424071991E-2</v>
      </c>
      <c r="AI30" s="200">
        <v>1798</v>
      </c>
      <c r="AJ30" s="66">
        <v>1798</v>
      </c>
      <c r="AK30" s="354">
        <v>1970</v>
      </c>
      <c r="AM30" s="204">
        <f t="shared" si="22"/>
        <v>1970</v>
      </c>
      <c r="AN30" s="66">
        <v>0</v>
      </c>
      <c r="AO30" s="66">
        <v>0</v>
      </c>
      <c r="AP30" s="200"/>
      <c r="AQ30" s="200"/>
      <c r="AR30" s="200">
        <f t="shared" si="23"/>
        <v>0</v>
      </c>
      <c r="AS30" s="204">
        <f t="shared" si="24"/>
        <v>1115.5742499999999</v>
      </c>
      <c r="AT30" s="200">
        <f t="shared" si="25"/>
        <v>-637.42575000000011</v>
      </c>
      <c r="AU30" s="205">
        <f t="shared" si="26"/>
        <v>-0.3636199372504279</v>
      </c>
      <c r="AV30" s="200">
        <f t="shared" si="49"/>
        <v>-637.42575000000011</v>
      </c>
      <c r="AW30" s="205">
        <f t="shared" si="50"/>
        <v>-0.3636199372504279</v>
      </c>
      <c r="AX30" s="204">
        <v>1287</v>
      </c>
      <c r="AY30" s="204">
        <f t="shared" si="27"/>
        <v>-466</v>
      </c>
      <c r="AZ30" s="304">
        <f t="shared" si="28"/>
        <v>-0.26583000570450654</v>
      </c>
      <c r="BA30" s="560">
        <v>1212.4568400000001</v>
      </c>
      <c r="BB30" s="560">
        <v>1115.5742499999999</v>
      </c>
      <c r="BC30" s="560">
        <f t="shared" si="29"/>
        <v>96.882590000000164</v>
      </c>
      <c r="BD30" s="304">
        <f>BC30/BA30</f>
        <v>7.9906011334803601E-2</v>
      </c>
      <c r="BE30" s="204">
        <v>1343</v>
      </c>
      <c r="BF30" s="204">
        <f t="shared" si="46"/>
        <v>56</v>
      </c>
      <c r="BG30" s="304">
        <f t="shared" si="47"/>
        <v>4.3512043512043512E-2</v>
      </c>
      <c r="BH30" s="200">
        <v>0</v>
      </c>
      <c r="BI30" s="200"/>
      <c r="BJ30" s="200"/>
      <c r="BK30" s="200">
        <v>18</v>
      </c>
      <c r="BL30" s="206">
        <f t="shared" si="31"/>
        <v>1361</v>
      </c>
      <c r="BM30" s="206">
        <f t="shared" si="32"/>
        <v>245.42575000000011</v>
      </c>
      <c r="BN30" s="206">
        <v>1383</v>
      </c>
      <c r="BO30" s="561">
        <v>1468</v>
      </c>
      <c r="BP30" s="206">
        <f t="shared" si="33"/>
        <v>125</v>
      </c>
      <c r="BQ30" s="199">
        <f t="shared" si="8"/>
        <v>0.21999947560639746</v>
      </c>
      <c r="BR30" s="205">
        <f t="shared" si="34"/>
        <v>9.3075204765450489E-2</v>
      </c>
      <c r="BS30" s="206">
        <v>346.43299999999999</v>
      </c>
      <c r="BV30" s="309">
        <v>13.02</v>
      </c>
      <c r="BW30" s="207">
        <f t="shared" si="48"/>
        <v>1742.453</v>
      </c>
      <c r="BX30" s="206">
        <v>1468</v>
      </c>
      <c r="BY30" s="206"/>
      <c r="BZ30" s="206">
        <v>1439</v>
      </c>
      <c r="CA30" s="206">
        <f t="shared" si="40"/>
        <v>96</v>
      </c>
      <c r="CB30" s="199">
        <f t="shared" si="41"/>
        <v>7.1481757259865969E-2</v>
      </c>
      <c r="CC30" s="206">
        <v>1480</v>
      </c>
      <c r="CD30" s="206">
        <v>1480</v>
      </c>
      <c r="CE30" s="206"/>
      <c r="CF30" s="206">
        <v>1465</v>
      </c>
      <c r="CG30" s="206">
        <f t="shared" si="35"/>
        <v>26</v>
      </c>
      <c r="CH30" s="304">
        <f t="shared" si="36"/>
        <v>1.8068102849200834E-2</v>
      </c>
      <c r="CI30" s="206">
        <v>1570</v>
      </c>
      <c r="CJ30" s="206"/>
      <c r="CK30" s="206">
        <f t="shared" si="10"/>
        <v>1570</v>
      </c>
      <c r="CL30" s="206">
        <f t="shared" si="37"/>
        <v>105</v>
      </c>
      <c r="CM30" s="562">
        <f t="shared" si="11"/>
        <v>7.1672354948805458E-2</v>
      </c>
      <c r="CN30" s="200">
        <v>1627</v>
      </c>
      <c r="CO30" s="206">
        <f t="shared" si="38"/>
        <v>57</v>
      </c>
      <c r="CP30" s="199">
        <f t="shared" si="39"/>
        <v>3.6305732484076432E-2</v>
      </c>
    </row>
    <row r="31" spans="1:94" ht="18" customHeight="1" x14ac:dyDescent="0.25">
      <c r="A31" s="68" t="s">
        <v>152</v>
      </c>
      <c r="B31" s="302">
        <v>367</v>
      </c>
      <c r="C31" s="302">
        <v>367</v>
      </c>
      <c r="D31" s="302">
        <f t="shared" si="12"/>
        <v>0</v>
      </c>
      <c r="E31" s="303">
        <f t="shared" si="13"/>
        <v>0</v>
      </c>
      <c r="F31" s="204">
        <v>367</v>
      </c>
      <c r="G31" s="204">
        <f t="shared" si="14"/>
        <v>0</v>
      </c>
      <c r="H31" s="199">
        <f t="shared" si="15"/>
        <v>0</v>
      </c>
      <c r="I31" s="204">
        <v>397</v>
      </c>
      <c r="J31" s="204">
        <f t="shared" si="16"/>
        <v>30</v>
      </c>
      <c r="K31" s="199">
        <f t="shared" si="17"/>
        <v>8.1743869209809264E-2</v>
      </c>
      <c r="L31" s="204">
        <v>422</v>
      </c>
      <c r="M31" s="204">
        <v>25</v>
      </c>
      <c r="N31" s="304">
        <v>6.2972292191435769E-2</v>
      </c>
      <c r="O31" s="204">
        <v>430</v>
      </c>
      <c r="P31" s="204">
        <f t="shared" si="18"/>
        <v>8</v>
      </c>
      <c r="Q31" s="304">
        <f t="shared" si="0"/>
        <v>1.8957345971563982E-2</v>
      </c>
      <c r="R31" s="204">
        <v>440</v>
      </c>
      <c r="S31" s="204">
        <f t="shared" si="1"/>
        <v>10</v>
      </c>
      <c r="T31" s="304">
        <f t="shared" si="2"/>
        <v>2.3255813953488372E-2</v>
      </c>
      <c r="U31" s="204">
        <v>421</v>
      </c>
      <c r="V31" s="204">
        <f t="shared" si="44"/>
        <v>-19</v>
      </c>
      <c r="W31" s="304">
        <f t="shared" si="19"/>
        <v>-4.3181818181818182E-2</v>
      </c>
      <c r="X31" s="201">
        <v>381</v>
      </c>
      <c r="Y31" s="204">
        <f t="shared" si="51"/>
        <v>-40</v>
      </c>
      <c r="Z31" s="484">
        <f t="shared" si="52"/>
        <v>-9.5011876484560567E-2</v>
      </c>
      <c r="AA31" s="203">
        <v>396</v>
      </c>
      <c r="AB31" s="374">
        <f t="shared" si="4"/>
        <v>15</v>
      </c>
      <c r="AC31" s="205">
        <f t="shared" si="53"/>
        <v>3.937007874015748E-2</v>
      </c>
      <c r="AD31" s="200">
        <v>396</v>
      </c>
      <c r="AE31" s="200"/>
      <c r="AF31" s="204">
        <v>396</v>
      </c>
      <c r="AG31" s="204">
        <f t="shared" si="20"/>
        <v>0</v>
      </c>
      <c r="AH31" s="304">
        <f t="shared" si="21"/>
        <v>0</v>
      </c>
      <c r="AI31" s="200">
        <v>396</v>
      </c>
      <c r="AJ31" s="66">
        <v>396</v>
      </c>
      <c r="AK31" s="354">
        <v>396</v>
      </c>
      <c r="AM31" s="204">
        <f t="shared" si="22"/>
        <v>396</v>
      </c>
      <c r="AN31" s="66">
        <v>396</v>
      </c>
      <c r="AO31" s="66">
        <v>396</v>
      </c>
      <c r="AP31" s="200">
        <v>0</v>
      </c>
      <c r="AQ31" s="200">
        <v>0</v>
      </c>
      <c r="AR31" s="200">
        <f t="shared" si="23"/>
        <v>0</v>
      </c>
      <c r="AS31" s="204">
        <f t="shared" si="24"/>
        <v>494.92874999999998</v>
      </c>
      <c r="AT31" s="200">
        <f t="shared" si="25"/>
        <v>98.92874999999998</v>
      </c>
      <c r="AU31" s="205">
        <f t="shared" si="26"/>
        <v>0.2498200757575757</v>
      </c>
      <c r="AV31" s="200">
        <f t="shared" si="49"/>
        <v>98.92874999999998</v>
      </c>
      <c r="AW31" s="205">
        <f t="shared" si="50"/>
        <v>0.2498200757575757</v>
      </c>
      <c r="AX31" s="204">
        <v>396</v>
      </c>
      <c r="AY31" s="204">
        <f t="shared" si="27"/>
        <v>0</v>
      </c>
      <c r="AZ31" s="304">
        <f t="shared" si="28"/>
        <v>0</v>
      </c>
      <c r="BA31" s="560">
        <v>494.92899999999997</v>
      </c>
      <c r="BB31" s="560">
        <v>494.92874999999998</v>
      </c>
      <c r="BC31" s="560">
        <f t="shared" si="29"/>
        <v>2.4999999999408828E-4</v>
      </c>
      <c r="BD31" s="304">
        <f t="shared" si="30"/>
        <v>5.0512295701825578E-7</v>
      </c>
      <c r="BE31" s="204">
        <v>396</v>
      </c>
      <c r="BF31" s="204">
        <f t="shared" si="46"/>
        <v>0</v>
      </c>
      <c r="BG31" s="304">
        <f t="shared" si="47"/>
        <v>0</v>
      </c>
      <c r="BH31" s="200"/>
      <c r="BI31" s="200"/>
      <c r="BJ31" s="200"/>
      <c r="BK31" s="200"/>
      <c r="BL31" s="206">
        <f t="shared" si="31"/>
        <v>396</v>
      </c>
      <c r="BM31" s="206">
        <f t="shared" si="32"/>
        <v>-98.92874999999998</v>
      </c>
      <c r="BN31" s="206">
        <v>408</v>
      </c>
      <c r="BO31" s="561">
        <v>408</v>
      </c>
      <c r="BP31" s="206">
        <f t="shared" si="33"/>
        <v>12</v>
      </c>
      <c r="BQ31" s="199">
        <f t="shared" si="8"/>
        <v>-0.19988483190762305</v>
      </c>
      <c r="BR31" s="205">
        <f t="shared" si="34"/>
        <v>3.0303030303030304E-2</v>
      </c>
      <c r="BV31" s="206"/>
      <c r="BW31" s="207">
        <f t="shared" si="48"/>
        <v>408</v>
      </c>
      <c r="BX31" s="206">
        <v>408</v>
      </c>
      <c r="BY31" s="206"/>
      <c r="BZ31" s="206">
        <v>783</v>
      </c>
      <c r="CA31" s="206">
        <f t="shared" si="40"/>
        <v>387</v>
      </c>
      <c r="CB31" s="199">
        <f t="shared" si="41"/>
        <v>0.97727272727272729</v>
      </c>
      <c r="CC31" s="206">
        <v>428</v>
      </c>
      <c r="CD31" s="206">
        <v>428</v>
      </c>
      <c r="CE31" s="206"/>
      <c r="CF31" s="206">
        <f t="shared" si="43"/>
        <v>428</v>
      </c>
      <c r="CG31" s="206">
        <f t="shared" si="35"/>
        <v>-355</v>
      </c>
      <c r="CH31" s="304">
        <f t="shared" si="36"/>
        <v>-0.45338441890166026</v>
      </c>
      <c r="CI31" s="206">
        <v>450</v>
      </c>
      <c r="CJ31" s="206"/>
      <c r="CK31" s="206">
        <f t="shared" si="10"/>
        <v>450</v>
      </c>
      <c r="CL31" s="206">
        <f t="shared" si="37"/>
        <v>22</v>
      </c>
      <c r="CM31" s="562">
        <f t="shared" si="11"/>
        <v>5.1401869158878503E-2</v>
      </c>
      <c r="CN31" s="66">
        <v>472</v>
      </c>
      <c r="CO31" s="206">
        <f t="shared" si="38"/>
        <v>22</v>
      </c>
      <c r="CP31" s="199">
        <f t="shared" si="39"/>
        <v>4.8888888888888891E-2</v>
      </c>
    </row>
    <row r="32" spans="1:94" s="148" customFormat="1" ht="18" customHeight="1" x14ac:dyDescent="0.25">
      <c r="A32" s="68" t="s">
        <v>153</v>
      </c>
      <c r="B32" s="416">
        <f>35974+3927</f>
        <v>39901</v>
      </c>
      <c r="C32" s="416">
        <f>29277+2995</f>
        <v>32272</v>
      </c>
      <c r="D32" s="416">
        <f t="shared" si="12"/>
        <v>-7629</v>
      </c>
      <c r="E32" s="563">
        <f t="shared" si="13"/>
        <v>-0.19119821558356934</v>
      </c>
      <c r="F32" s="203">
        <f>40710+1246</f>
        <v>41956</v>
      </c>
      <c r="G32" s="203">
        <f t="shared" si="14"/>
        <v>9684</v>
      </c>
      <c r="H32" s="362">
        <f t="shared" si="15"/>
        <v>0.23081323291066833</v>
      </c>
      <c r="I32" s="203">
        <f>28360+2584</f>
        <v>30944</v>
      </c>
      <c r="J32" s="203">
        <f t="shared" si="16"/>
        <v>-11012</v>
      </c>
      <c r="K32" s="362">
        <f t="shared" si="17"/>
        <v>-0.26246543998474592</v>
      </c>
      <c r="L32" s="203">
        <v>33504</v>
      </c>
      <c r="M32" s="203">
        <v>2560</v>
      </c>
      <c r="N32" s="397">
        <v>8.2730093071354704E-2</v>
      </c>
      <c r="O32" s="203">
        <v>39845</v>
      </c>
      <c r="P32" s="203">
        <f t="shared" si="18"/>
        <v>6341</v>
      </c>
      <c r="Q32" s="397">
        <f t="shared" si="0"/>
        <v>0.18926098376313277</v>
      </c>
      <c r="R32" s="203">
        <v>45037</v>
      </c>
      <c r="S32" s="203">
        <f t="shared" si="1"/>
        <v>5192</v>
      </c>
      <c r="T32" s="397">
        <f t="shared" si="2"/>
        <v>0.13030493160998871</v>
      </c>
      <c r="U32" s="203">
        <v>58690</v>
      </c>
      <c r="V32" s="203">
        <f t="shared" si="44"/>
        <v>13653</v>
      </c>
      <c r="W32" s="397">
        <f t="shared" si="19"/>
        <v>0.30315074272265025</v>
      </c>
      <c r="X32" s="201">
        <v>65810</v>
      </c>
      <c r="Y32" s="203">
        <f t="shared" si="51"/>
        <v>7120</v>
      </c>
      <c r="Z32" s="484">
        <f t="shared" si="52"/>
        <v>0.12131538592605214</v>
      </c>
      <c r="AA32" s="203">
        <v>68492</v>
      </c>
      <c r="AB32" s="564">
        <f t="shared" si="4"/>
        <v>2682</v>
      </c>
      <c r="AC32" s="485">
        <f t="shared" si="53"/>
        <v>4.0753684850326696E-2</v>
      </c>
      <c r="AD32" s="418">
        <v>58303</v>
      </c>
      <c r="AE32" s="418">
        <v>6834</v>
      </c>
      <c r="AF32" s="203">
        <v>59852</v>
      </c>
      <c r="AG32" s="203">
        <f t="shared" si="20"/>
        <v>-8640</v>
      </c>
      <c r="AH32" s="397">
        <f t="shared" si="21"/>
        <v>-0.12614611925480348</v>
      </c>
      <c r="AI32" s="418">
        <f>58303-1456</f>
        <v>56847</v>
      </c>
      <c r="AJ32" s="148">
        <f>65137-1456</f>
        <v>63681</v>
      </c>
      <c r="AK32" s="354">
        <v>57749</v>
      </c>
      <c r="AL32" s="148">
        <v>1900</v>
      </c>
      <c r="AM32" s="203">
        <f t="shared" si="22"/>
        <v>59649</v>
      </c>
      <c r="AN32" s="148">
        <v>53365</v>
      </c>
      <c r="AO32" s="148">
        <v>62004</v>
      </c>
      <c r="AP32" s="418">
        <v>0</v>
      </c>
      <c r="AQ32" s="418">
        <v>195</v>
      </c>
      <c r="AR32" s="418">
        <f t="shared" si="23"/>
        <v>195</v>
      </c>
      <c r="AS32" s="204">
        <f t="shared" si="24"/>
        <v>54722.822670000001</v>
      </c>
      <c r="AT32" s="418">
        <f t="shared" si="25"/>
        <v>-5129.1773299999986</v>
      </c>
      <c r="AU32" s="485">
        <f t="shared" si="26"/>
        <v>-8.5697676435206815E-2</v>
      </c>
      <c r="AV32" s="418">
        <f t="shared" si="49"/>
        <v>-5129.1773299999986</v>
      </c>
      <c r="AW32" s="485">
        <f t="shared" si="50"/>
        <v>-8.5697676435206815E-2</v>
      </c>
      <c r="AX32" s="203">
        <v>58313</v>
      </c>
      <c r="AY32" s="203">
        <f t="shared" si="27"/>
        <v>-1539</v>
      </c>
      <c r="AZ32" s="397">
        <f t="shared" si="28"/>
        <v>-2.5713426451914722E-2</v>
      </c>
      <c r="BA32" s="560">
        <f>50219.61977+8093.30028</f>
        <v>58312.920050000001</v>
      </c>
      <c r="BB32" s="560">
        <f>48935.87803+5591.94464</f>
        <v>54527.822670000001</v>
      </c>
      <c r="BC32" s="560">
        <f t="shared" si="29"/>
        <v>3785.0973799999992</v>
      </c>
      <c r="BD32" s="304">
        <f t="shared" si="30"/>
        <v>6.491009842680652E-2</v>
      </c>
      <c r="BE32" s="204">
        <v>55765</v>
      </c>
      <c r="BF32" s="203">
        <f t="shared" si="46"/>
        <v>-2548</v>
      </c>
      <c r="BG32" s="397">
        <f t="shared" si="47"/>
        <v>-4.3695230909059732E-2</v>
      </c>
      <c r="BH32" s="418">
        <v>0</v>
      </c>
      <c r="BI32" s="418"/>
      <c r="BJ32" s="418"/>
      <c r="BK32" s="418"/>
      <c r="BL32" s="309">
        <f t="shared" si="31"/>
        <v>55765</v>
      </c>
      <c r="BM32" s="309">
        <f t="shared" si="32"/>
        <v>1042.1773299999986</v>
      </c>
      <c r="BN32" s="309">
        <v>59800</v>
      </c>
      <c r="BO32" s="561">
        <v>60498</v>
      </c>
      <c r="BP32" s="206">
        <f t="shared" si="33"/>
        <v>4733</v>
      </c>
      <c r="BQ32" s="362">
        <f t="shared" si="8"/>
        <v>1.9044655943366354E-2</v>
      </c>
      <c r="BR32" s="205">
        <f t="shared" si="34"/>
        <v>8.4874024926028871E-2</v>
      </c>
      <c r="BS32" s="309">
        <v>2455.9690000000001</v>
      </c>
      <c r="BV32" s="309">
        <v>265.298</v>
      </c>
      <c r="BW32" s="207">
        <f t="shared" si="48"/>
        <v>62521.267</v>
      </c>
      <c r="BX32" s="206">
        <v>60498</v>
      </c>
      <c r="BY32" s="206"/>
      <c r="BZ32" s="206">
        <v>58049</v>
      </c>
      <c r="CA32" s="206">
        <f t="shared" si="40"/>
        <v>2284</v>
      </c>
      <c r="CB32" s="199">
        <f t="shared" si="41"/>
        <v>4.0957589886129291E-2</v>
      </c>
      <c r="CC32" s="206">
        <v>62318</v>
      </c>
      <c r="CD32" s="206">
        <v>61798</v>
      </c>
      <c r="CE32" s="206"/>
      <c r="CF32" s="206">
        <v>60391</v>
      </c>
      <c r="CG32" s="206">
        <f t="shared" si="35"/>
        <v>2342</v>
      </c>
      <c r="CH32" s="304">
        <f t="shared" si="36"/>
        <v>4.0345225585281398E-2</v>
      </c>
      <c r="CI32" s="206">
        <v>67831</v>
      </c>
      <c r="CJ32" s="206"/>
      <c r="CK32" s="206">
        <f t="shared" si="10"/>
        <v>67831</v>
      </c>
      <c r="CL32" s="206">
        <f t="shared" si="37"/>
        <v>7440</v>
      </c>
      <c r="CM32" s="562">
        <f t="shared" si="11"/>
        <v>0.12319716514050107</v>
      </c>
      <c r="CN32" s="200">
        <v>58220</v>
      </c>
      <c r="CO32" s="206">
        <f t="shared" si="38"/>
        <v>-9611</v>
      </c>
      <c r="CP32" s="199">
        <f t="shared" si="39"/>
        <v>-0.14169037755598474</v>
      </c>
    </row>
    <row r="33" spans="1:94" s="148" customFormat="1" ht="18" customHeight="1" x14ac:dyDescent="0.25">
      <c r="A33" s="68" t="s">
        <v>154</v>
      </c>
      <c r="B33" s="416"/>
      <c r="C33" s="416"/>
      <c r="D33" s="416"/>
      <c r="E33" s="563"/>
      <c r="F33" s="203"/>
      <c r="G33" s="203"/>
      <c r="H33" s="362"/>
      <c r="I33" s="203"/>
      <c r="J33" s="203"/>
      <c r="K33" s="362"/>
      <c r="L33" s="203"/>
      <c r="M33" s="203"/>
      <c r="N33" s="397"/>
      <c r="O33" s="203"/>
      <c r="P33" s="203"/>
      <c r="Q33" s="397"/>
      <c r="R33" s="203"/>
      <c r="S33" s="203"/>
      <c r="T33" s="397"/>
      <c r="U33" s="203"/>
      <c r="V33" s="203"/>
      <c r="W33" s="397"/>
      <c r="X33" s="201"/>
      <c r="Y33" s="203"/>
      <c r="Z33" s="484"/>
      <c r="AA33" s="203"/>
      <c r="AB33" s="564"/>
      <c r="AC33" s="485"/>
      <c r="AD33" s="418"/>
      <c r="AE33" s="418"/>
      <c r="AF33" s="203"/>
      <c r="AG33" s="203"/>
      <c r="AH33" s="397"/>
      <c r="AI33" s="418"/>
      <c r="AK33" s="354"/>
      <c r="AM33" s="203"/>
      <c r="AP33" s="418"/>
      <c r="AQ33" s="418"/>
      <c r="AR33" s="418"/>
      <c r="AS33" s="204"/>
      <c r="AT33" s="418"/>
      <c r="AU33" s="485"/>
      <c r="AV33" s="418"/>
      <c r="AW33" s="485"/>
      <c r="AX33" s="203"/>
      <c r="AY33" s="203"/>
      <c r="AZ33" s="397"/>
      <c r="BA33" s="560"/>
      <c r="BB33" s="560"/>
      <c r="BC33" s="560"/>
      <c r="BD33" s="304"/>
      <c r="BE33" s="204"/>
      <c r="BF33" s="203"/>
      <c r="BG33" s="397"/>
      <c r="BH33" s="418"/>
      <c r="BI33" s="418"/>
      <c r="BJ33" s="418"/>
      <c r="BK33" s="418"/>
      <c r="BL33" s="309"/>
      <c r="BM33" s="309"/>
      <c r="BN33" s="309"/>
      <c r="BO33" s="561"/>
      <c r="BP33" s="206"/>
      <c r="BQ33" s="362"/>
      <c r="BR33" s="205"/>
      <c r="BS33" s="309"/>
      <c r="BV33" s="309"/>
      <c r="BW33" s="207"/>
      <c r="BX33" s="206"/>
      <c r="BY33" s="206"/>
      <c r="BZ33" s="206"/>
      <c r="CA33" s="206"/>
      <c r="CB33" s="199"/>
      <c r="CC33" s="206"/>
      <c r="CD33" s="206"/>
      <c r="CE33" s="206"/>
      <c r="CF33" s="206"/>
      <c r="CG33" s="206"/>
      <c r="CH33" s="304"/>
      <c r="CI33" s="206">
        <v>226</v>
      </c>
      <c r="CJ33" s="206"/>
      <c r="CK33" s="206">
        <f t="shared" si="10"/>
        <v>226</v>
      </c>
      <c r="CL33" s="206">
        <f t="shared" si="37"/>
        <v>226</v>
      </c>
      <c r="CM33" s="562" t="e">
        <f>CL33/CF33</f>
        <v>#DIV/0!</v>
      </c>
      <c r="CN33" s="204">
        <v>230</v>
      </c>
      <c r="CO33" s="206">
        <f t="shared" si="38"/>
        <v>4</v>
      </c>
      <c r="CP33" s="199">
        <f t="shared" si="39"/>
        <v>1.7699115044247787E-2</v>
      </c>
    </row>
    <row r="34" spans="1:94" s="68" customFormat="1" ht="18" customHeight="1" x14ac:dyDescent="0.25">
      <c r="A34" s="68" t="s">
        <v>155</v>
      </c>
      <c r="B34" s="416">
        <f>7180+916</f>
        <v>8096</v>
      </c>
      <c r="C34" s="416">
        <f>10673+0</f>
        <v>10673</v>
      </c>
      <c r="D34" s="416">
        <f t="shared" si="12"/>
        <v>2577</v>
      </c>
      <c r="E34" s="563">
        <f t="shared" si="13"/>
        <v>0.31830533596837945</v>
      </c>
      <c r="F34" s="203">
        <v>10581</v>
      </c>
      <c r="G34" s="203">
        <f t="shared" si="14"/>
        <v>-92</v>
      </c>
      <c r="H34" s="362">
        <f t="shared" si="15"/>
        <v>-8.6948303562990274E-3</v>
      </c>
      <c r="I34" s="203">
        <v>9872</v>
      </c>
      <c r="J34" s="203">
        <f t="shared" si="16"/>
        <v>-709</v>
      </c>
      <c r="K34" s="362">
        <f t="shared" si="17"/>
        <v>-6.7006899158869676E-2</v>
      </c>
      <c r="L34" s="423">
        <v>8705</v>
      </c>
      <c r="M34" s="423">
        <v>-1167</v>
      </c>
      <c r="N34" s="420">
        <v>-0.1182131280388979</v>
      </c>
      <c r="O34" s="423">
        <v>9991</v>
      </c>
      <c r="P34" s="423">
        <f t="shared" si="18"/>
        <v>1286</v>
      </c>
      <c r="Q34" s="420">
        <f t="shared" si="0"/>
        <v>0.14773118897185525</v>
      </c>
      <c r="R34" s="423">
        <v>11279</v>
      </c>
      <c r="S34" s="423">
        <f t="shared" si="1"/>
        <v>1288</v>
      </c>
      <c r="T34" s="420">
        <f t="shared" si="2"/>
        <v>0.12891602442197977</v>
      </c>
      <c r="U34" s="423">
        <v>12365</v>
      </c>
      <c r="V34" s="423">
        <f t="shared" si="44"/>
        <v>1086</v>
      </c>
      <c r="W34" s="420">
        <f t="shared" si="19"/>
        <v>9.6285131660608203E-2</v>
      </c>
      <c r="X34" s="463">
        <v>14886</v>
      </c>
      <c r="Y34" s="203">
        <f t="shared" si="51"/>
        <v>2521</v>
      </c>
      <c r="Z34" s="484">
        <f t="shared" si="52"/>
        <v>0.20388192478770722</v>
      </c>
      <c r="AA34" s="423">
        <v>14858</v>
      </c>
      <c r="AB34" s="564">
        <f t="shared" si="4"/>
        <v>-28</v>
      </c>
      <c r="AC34" s="485">
        <f t="shared" si="53"/>
        <v>-1.8809619776971652E-3</v>
      </c>
      <c r="AD34" s="319">
        <v>15457</v>
      </c>
      <c r="AE34" s="319"/>
      <c r="AF34" s="203">
        <v>14880</v>
      </c>
      <c r="AG34" s="203">
        <f t="shared" si="20"/>
        <v>22</v>
      </c>
      <c r="AH34" s="397">
        <f t="shared" si="21"/>
        <v>1.4806838067034595E-3</v>
      </c>
      <c r="AI34" s="319">
        <v>15457</v>
      </c>
      <c r="AJ34" s="68">
        <v>15457</v>
      </c>
      <c r="AK34" s="354">
        <v>14331</v>
      </c>
      <c r="AM34" s="203">
        <f t="shared" si="22"/>
        <v>14331</v>
      </c>
      <c r="AN34" s="68">
        <v>13567</v>
      </c>
      <c r="AO34" s="68">
        <v>13567</v>
      </c>
      <c r="AP34" s="319">
        <v>593</v>
      </c>
      <c r="AQ34" s="319">
        <v>0</v>
      </c>
      <c r="AR34" s="418">
        <f t="shared" si="23"/>
        <v>593</v>
      </c>
      <c r="AS34" s="204">
        <f t="shared" si="24"/>
        <v>12993.86816</v>
      </c>
      <c r="AT34" s="418">
        <f t="shared" si="25"/>
        <v>-1886.13184</v>
      </c>
      <c r="AU34" s="485">
        <f t="shared" si="26"/>
        <v>-0.12675617204301076</v>
      </c>
      <c r="AV34" s="418">
        <f t="shared" si="49"/>
        <v>-1886.13184</v>
      </c>
      <c r="AW34" s="485">
        <f t="shared" si="50"/>
        <v>-0.12675617204301076</v>
      </c>
      <c r="AX34" s="423">
        <v>13329</v>
      </c>
      <c r="AY34" s="203">
        <f t="shared" si="27"/>
        <v>-1551</v>
      </c>
      <c r="AZ34" s="397">
        <f t="shared" si="28"/>
        <v>-0.10423387096774193</v>
      </c>
      <c r="BA34" s="560">
        <v>13328.57625</v>
      </c>
      <c r="BB34" s="560">
        <v>12400.86816</v>
      </c>
      <c r="BC34" s="560">
        <f t="shared" si="29"/>
        <v>927.70809000000008</v>
      </c>
      <c r="BD34" s="304">
        <f t="shared" si="30"/>
        <v>6.9602939773856204E-2</v>
      </c>
      <c r="BE34" s="204">
        <v>11932</v>
      </c>
      <c r="BF34" s="203">
        <f t="shared" si="46"/>
        <v>-1397</v>
      </c>
      <c r="BG34" s="397">
        <f t="shared" si="47"/>
        <v>-0.10480906294545728</v>
      </c>
      <c r="BH34" s="418">
        <v>1433</v>
      </c>
      <c r="BI34" s="418"/>
      <c r="BJ34" s="418"/>
      <c r="BK34" s="418">
        <v>4</v>
      </c>
      <c r="BL34" s="309">
        <f t="shared" si="31"/>
        <v>13369</v>
      </c>
      <c r="BM34" s="309">
        <f t="shared" si="32"/>
        <v>375.13184000000001</v>
      </c>
      <c r="BN34" s="309">
        <v>13308</v>
      </c>
      <c r="BO34" s="561">
        <v>13308</v>
      </c>
      <c r="BP34" s="206">
        <f t="shared" si="33"/>
        <v>1376</v>
      </c>
      <c r="BQ34" s="362">
        <f t="shared" si="8"/>
        <v>2.8869912745058974E-2</v>
      </c>
      <c r="BR34" s="205">
        <f t="shared" si="34"/>
        <v>0.11532014750251425</v>
      </c>
      <c r="BS34" s="573">
        <v>1827.691</v>
      </c>
      <c r="BV34" s="573">
        <v>4.1900000000000004</v>
      </c>
      <c r="BW34" s="207">
        <f t="shared" si="48"/>
        <v>15139.881000000001</v>
      </c>
      <c r="BX34" s="206">
        <v>13308</v>
      </c>
      <c r="BY34" s="206"/>
      <c r="BZ34" s="206">
        <v>11894</v>
      </c>
      <c r="CA34" s="206">
        <f t="shared" si="40"/>
        <v>-38</v>
      </c>
      <c r="CB34" s="199">
        <f t="shared" si="41"/>
        <v>-3.1847133757961785E-3</v>
      </c>
      <c r="CC34" s="206">
        <v>13465</v>
      </c>
      <c r="CD34" s="206">
        <v>13465</v>
      </c>
      <c r="CE34" s="206"/>
      <c r="CF34" s="206">
        <v>13010</v>
      </c>
      <c r="CG34" s="206">
        <f t="shared" si="35"/>
        <v>1116</v>
      </c>
      <c r="CH34" s="304">
        <f t="shared" si="36"/>
        <v>9.3828821254413997E-2</v>
      </c>
      <c r="CI34" s="206">
        <v>14348</v>
      </c>
      <c r="CJ34" s="206"/>
      <c r="CK34" s="206">
        <f t="shared" si="10"/>
        <v>14348</v>
      </c>
      <c r="CL34" s="206">
        <f t="shared" si="37"/>
        <v>1338</v>
      </c>
      <c r="CM34" s="562">
        <f t="shared" ref="CM34:CM48" si="54">CL34/CF34</f>
        <v>0.10284396617986165</v>
      </c>
      <c r="CN34" s="200">
        <v>14595</v>
      </c>
      <c r="CO34" s="206">
        <f t="shared" si="38"/>
        <v>247</v>
      </c>
      <c r="CP34" s="199">
        <f t="shared" si="39"/>
        <v>1.7214942849177586E-2</v>
      </c>
    </row>
    <row r="35" spans="1:94" s="68" customFormat="1" ht="18" customHeight="1" x14ac:dyDescent="0.25">
      <c r="A35" s="68" t="s">
        <v>156</v>
      </c>
      <c r="B35" s="416">
        <f>69179+8181</f>
        <v>77360</v>
      </c>
      <c r="C35" s="416">
        <f>76205+8260</f>
        <v>84465</v>
      </c>
      <c r="D35" s="416">
        <f t="shared" si="12"/>
        <v>7105</v>
      </c>
      <c r="E35" s="563">
        <f t="shared" si="13"/>
        <v>9.1843329886246119E-2</v>
      </c>
      <c r="F35" s="423">
        <f>72989+7552</f>
        <v>80541</v>
      </c>
      <c r="G35" s="203">
        <f t="shared" si="14"/>
        <v>-3924</v>
      </c>
      <c r="H35" s="362">
        <f t="shared" si="15"/>
        <v>-4.8720527433232762E-2</v>
      </c>
      <c r="I35" s="423">
        <f>74099+5822</f>
        <v>79921</v>
      </c>
      <c r="J35" s="203">
        <f t="shared" si="16"/>
        <v>-620</v>
      </c>
      <c r="K35" s="362">
        <f t="shared" si="17"/>
        <v>-7.697942662743199E-3</v>
      </c>
      <c r="L35" s="423">
        <v>85103</v>
      </c>
      <c r="M35" s="423">
        <v>5182</v>
      </c>
      <c r="N35" s="420">
        <v>6.4839028540683921E-2</v>
      </c>
      <c r="O35" s="423">
        <v>105381</v>
      </c>
      <c r="P35" s="423">
        <f t="shared" si="18"/>
        <v>20278</v>
      </c>
      <c r="Q35" s="420">
        <f t="shared" si="0"/>
        <v>0.23827597146986593</v>
      </c>
      <c r="R35" s="423">
        <v>119321</v>
      </c>
      <c r="S35" s="423">
        <f t="shared" si="1"/>
        <v>13940</v>
      </c>
      <c r="T35" s="420">
        <f t="shared" si="2"/>
        <v>0.13228191040130574</v>
      </c>
      <c r="U35" s="423">
        <v>133280</v>
      </c>
      <c r="V35" s="423">
        <f t="shared" si="44"/>
        <v>13959</v>
      </c>
      <c r="W35" s="423">
        <f t="shared" si="19"/>
        <v>0.11698695116534391</v>
      </c>
      <c r="X35" s="463">
        <v>130868</v>
      </c>
      <c r="Y35" s="203">
        <f t="shared" si="51"/>
        <v>-2412</v>
      </c>
      <c r="Z35" s="484">
        <f t="shared" si="52"/>
        <v>-1.8097238895558223E-2</v>
      </c>
      <c r="AA35" s="423">
        <v>153843</v>
      </c>
      <c r="AB35" s="564">
        <f t="shared" si="4"/>
        <v>22975</v>
      </c>
      <c r="AC35" s="485">
        <f t="shared" si="53"/>
        <v>0.17555857810923983</v>
      </c>
      <c r="AD35" s="319">
        <v>105866</v>
      </c>
      <c r="AE35" s="319">
        <v>37483</v>
      </c>
      <c r="AF35" s="203">
        <v>130367</v>
      </c>
      <c r="AG35" s="203">
        <f t="shared" si="20"/>
        <v>-23476</v>
      </c>
      <c r="AH35" s="397">
        <f t="shared" si="21"/>
        <v>-0.15259712824112895</v>
      </c>
      <c r="AI35" s="319">
        <v>105866</v>
      </c>
      <c r="AJ35" s="68">
        <v>143349</v>
      </c>
      <c r="AK35" s="354">
        <v>109217</v>
      </c>
      <c r="AM35" s="203">
        <f t="shared" si="22"/>
        <v>109217</v>
      </c>
      <c r="AN35" s="68">
        <v>87413</v>
      </c>
      <c r="AO35" s="68">
        <v>121453</v>
      </c>
      <c r="AP35" s="319">
        <v>14702</v>
      </c>
      <c r="AQ35" s="319">
        <v>0</v>
      </c>
      <c r="AR35" s="418">
        <f t="shared" si="23"/>
        <v>14702</v>
      </c>
      <c r="AS35" s="204">
        <f t="shared" si="24"/>
        <v>118809.95961000001</v>
      </c>
      <c r="AT35" s="418">
        <f t="shared" si="25"/>
        <v>-11557.040389999995</v>
      </c>
      <c r="AU35" s="485">
        <f t="shared" si="26"/>
        <v>-8.8650044796612593E-2</v>
      </c>
      <c r="AV35" s="418">
        <f t="shared" si="49"/>
        <v>-11557.040389999995</v>
      </c>
      <c r="AW35" s="485">
        <f t="shared" si="50"/>
        <v>-8.8650044796612593E-2</v>
      </c>
      <c r="AX35" s="423">
        <v>121617</v>
      </c>
      <c r="AY35" s="203">
        <f t="shared" si="27"/>
        <v>-8750</v>
      </c>
      <c r="AZ35" s="397">
        <f t="shared" si="28"/>
        <v>-6.7118212431060004E-2</v>
      </c>
      <c r="BA35" s="560">
        <f>87824.93902+16328.78</f>
        <v>104153.71902</v>
      </c>
      <c r="BB35" s="560">
        <f>87779.17961+16328.78</f>
        <v>104107.95961000001</v>
      </c>
      <c r="BC35" s="560">
        <f t="shared" si="29"/>
        <v>45.759409999998752</v>
      </c>
      <c r="BD35" s="304">
        <f t="shared" si="30"/>
        <v>4.3934494543792385E-4</v>
      </c>
      <c r="BE35" s="204">
        <v>104312</v>
      </c>
      <c r="BF35" s="203">
        <f t="shared" si="46"/>
        <v>-17305</v>
      </c>
      <c r="BG35" s="397">
        <f t="shared" si="47"/>
        <v>-0.14229096261213481</v>
      </c>
      <c r="BH35" s="418">
        <v>17211</v>
      </c>
      <c r="BI35" s="418"/>
      <c r="BJ35" s="418"/>
      <c r="BK35" s="418">
        <v>17</v>
      </c>
      <c r="BL35" s="309">
        <f>BE35+BH35+BI35+BJ35+BK35</f>
        <v>121540</v>
      </c>
      <c r="BM35" s="309">
        <f t="shared" si="32"/>
        <v>2730.0403899999947</v>
      </c>
      <c r="BN35" s="309">
        <f>128292-2200</f>
        <v>126092</v>
      </c>
      <c r="BO35" s="561">
        <f>129445-2200</f>
        <v>127245</v>
      </c>
      <c r="BP35" s="206">
        <f t="shared" si="33"/>
        <v>22933</v>
      </c>
      <c r="BQ35" s="362">
        <f t="shared" si="8"/>
        <v>2.2978211582273887E-2</v>
      </c>
      <c r="BR35" s="205">
        <f t="shared" si="34"/>
        <v>0.21985006518904823</v>
      </c>
      <c r="BS35" s="573">
        <v>19082.194</v>
      </c>
      <c r="BV35" s="573">
        <v>59.506</v>
      </c>
      <c r="BW35" s="207">
        <f t="shared" si="48"/>
        <v>145233.69999999998</v>
      </c>
      <c r="BX35" s="206">
        <f>129445-2200</f>
        <v>127245</v>
      </c>
      <c r="BY35" s="206"/>
      <c r="BZ35" s="206">
        <v>114069</v>
      </c>
      <c r="CA35" s="206">
        <f t="shared" si="40"/>
        <v>9757</v>
      </c>
      <c r="CB35" s="199">
        <f t="shared" si="41"/>
        <v>9.3536697599509167E-2</v>
      </c>
      <c r="CC35" s="206">
        <v>130038</v>
      </c>
      <c r="CD35" s="206">
        <v>131130</v>
      </c>
      <c r="CE35" s="206">
        <v>2000</v>
      </c>
      <c r="CF35" s="206">
        <v>121738</v>
      </c>
      <c r="CG35" s="206">
        <f t="shared" si="35"/>
        <v>7669</v>
      </c>
      <c r="CH35" s="304">
        <f t="shared" si="36"/>
        <v>6.7231237233604219E-2</v>
      </c>
      <c r="CI35" s="206">
        <v>158204</v>
      </c>
      <c r="CJ35" s="206"/>
      <c r="CK35" s="206">
        <f t="shared" si="10"/>
        <v>158204</v>
      </c>
      <c r="CL35" s="206">
        <f t="shared" si="37"/>
        <v>36466</v>
      </c>
      <c r="CM35" s="562">
        <f t="shared" si="54"/>
        <v>0.29954492434572605</v>
      </c>
      <c r="CN35" s="200">
        <v>162340</v>
      </c>
      <c r="CO35" s="206">
        <f t="shared" si="38"/>
        <v>4136</v>
      </c>
      <c r="CP35" s="199">
        <f t="shared" si="39"/>
        <v>2.6143460342342797E-2</v>
      </c>
    </row>
    <row r="36" spans="1:94" s="317" customFormat="1" ht="18" customHeight="1" x14ac:dyDescent="0.25">
      <c r="A36" s="314" t="s">
        <v>157</v>
      </c>
      <c r="B36" s="310" t="s">
        <v>132</v>
      </c>
      <c r="C36" s="310" t="s">
        <v>132</v>
      </c>
      <c r="D36" s="310" t="s">
        <v>132</v>
      </c>
      <c r="E36" s="310" t="s">
        <v>132</v>
      </c>
      <c r="F36" s="310" t="s">
        <v>132</v>
      </c>
      <c r="G36" s="310" t="s">
        <v>132</v>
      </c>
      <c r="H36" s="310" t="s">
        <v>132</v>
      </c>
      <c r="I36" s="310" t="s">
        <v>132</v>
      </c>
      <c r="J36" s="310" t="s">
        <v>132</v>
      </c>
      <c r="K36" s="310" t="s">
        <v>132</v>
      </c>
      <c r="L36" s="315"/>
      <c r="M36" s="315"/>
      <c r="N36" s="316"/>
      <c r="O36" s="315"/>
      <c r="P36" s="315"/>
      <c r="Q36" s="316"/>
      <c r="R36" s="315"/>
      <c r="S36" s="315"/>
      <c r="T36" s="316"/>
      <c r="U36" s="315"/>
      <c r="V36" s="315"/>
      <c r="W36" s="316"/>
      <c r="X36" s="463"/>
      <c r="Y36" s="315"/>
      <c r="Z36" s="577"/>
      <c r="AA36" s="423">
        <v>0</v>
      </c>
      <c r="AB36" s="466"/>
      <c r="AC36" s="433"/>
      <c r="AE36" s="317">
        <v>1000</v>
      </c>
      <c r="AF36" s="204"/>
      <c r="AG36" s="204">
        <f t="shared" si="20"/>
        <v>0</v>
      </c>
      <c r="AH36" s="304" t="e">
        <f t="shared" si="21"/>
        <v>#DIV/0!</v>
      </c>
      <c r="AI36" s="319">
        <v>1000</v>
      </c>
      <c r="AJ36" s="68">
        <v>1000</v>
      </c>
      <c r="AM36" s="204">
        <f t="shared" si="22"/>
        <v>0</v>
      </c>
      <c r="AN36" s="68">
        <v>1000</v>
      </c>
      <c r="AO36" s="68">
        <v>1000</v>
      </c>
      <c r="AP36" s="319">
        <v>0</v>
      </c>
      <c r="AQ36" s="319">
        <v>0</v>
      </c>
      <c r="AR36" s="200">
        <f t="shared" si="23"/>
        <v>0</v>
      </c>
      <c r="AS36" s="204">
        <f t="shared" si="24"/>
        <v>196.37821</v>
      </c>
      <c r="AT36" s="200">
        <f t="shared" si="25"/>
        <v>196.37821</v>
      </c>
      <c r="AU36" s="205" t="e">
        <f t="shared" si="26"/>
        <v>#DIV/0!</v>
      </c>
      <c r="AV36" s="200">
        <f t="shared" si="49"/>
        <v>196.37821</v>
      </c>
      <c r="AW36" s="205" t="e">
        <f t="shared" si="50"/>
        <v>#DIV/0!</v>
      </c>
      <c r="AX36" s="315">
        <v>3182</v>
      </c>
      <c r="AY36" s="204">
        <f t="shared" si="27"/>
        <v>3182</v>
      </c>
      <c r="AZ36" s="304" t="e">
        <f t="shared" si="28"/>
        <v>#DIV/0!</v>
      </c>
      <c r="BA36" s="560">
        <f>2500+682</f>
        <v>3182</v>
      </c>
      <c r="BB36" s="560">
        <v>196.37821</v>
      </c>
      <c r="BC36" s="560">
        <f t="shared" si="29"/>
        <v>2985.6217900000001</v>
      </c>
      <c r="BD36" s="304">
        <f t="shared" si="30"/>
        <v>0.93828466059082338</v>
      </c>
      <c r="BE36" s="204">
        <v>177</v>
      </c>
      <c r="BF36" s="204">
        <f t="shared" si="46"/>
        <v>-3005</v>
      </c>
      <c r="BG36" s="304">
        <f t="shared" si="47"/>
        <v>-0.94437460716530486</v>
      </c>
      <c r="BH36" s="200"/>
      <c r="BI36" s="200"/>
      <c r="BJ36" s="200"/>
      <c r="BK36" s="200"/>
      <c r="BL36" s="206">
        <f t="shared" si="31"/>
        <v>177</v>
      </c>
      <c r="BM36" s="206">
        <f t="shared" si="32"/>
        <v>-19.378209999999996</v>
      </c>
      <c r="BN36" s="206">
        <v>2496</v>
      </c>
      <c r="BO36" s="561">
        <v>2430</v>
      </c>
      <c r="BP36" s="206">
        <f t="shared" si="33"/>
        <v>2253</v>
      </c>
      <c r="BQ36" s="199">
        <f t="shared" si="8"/>
        <v>-9.8678005059726306E-2</v>
      </c>
      <c r="BR36" s="205">
        <f t="shared" si="34"/>
        <v>12.728813559322035</v>
      </c>
      <c r="BS36" s="413"/>
      <c r="BV36" s="413"/>
      <c r="BW36" s="207">
        <f t="shared" si="48"/>
        <v>2496</v>
      </c>
      <c r="BX36" s="206">
        <v>2496</v>
      </c>
      <c r="BY36" s="206">
        <v>135</v>
      </c>
      <c r="BZ36" s="206">
        <v>498</v>
      </c>
      <c r="CA36" s="206">
        <f t="shared" si="40"/>
        <v>321</v>
      </c>
      <c r="CB36" s="199">
        <f t="shared" si="41"/>
        <v>1.8135593220338984</v>
      </c>
      <c r="CC36" s="206">
        <v>2537</v>
      </c>
      <c r="CD36" s="206">
        <v>1802</v>
      </c>
      <c r="CE36" s="206"/>
      <c r="CF36" s="206">
        <v>929</v>
      </c>
      <c r="CG36" s="206">
        <f t="shared" si="35"/>
        <v>431</v>
      </c>
      <c r="CH36" s="304">
        <f t="shared" si="36"/>
        <v>0.86546184738955823</v>
      </c>
      <c r="CI36" s="206">
        <v>1600</v>
      </c>
      <c r="CJ36" s="206"/>
      <c r="CK36" s="206">
        <f t="shared" si="10"/>
        <v>1600</v>
      </c>
      <c r="CL36" s="206">
        <f t="shared" si="37"/>
        <v>671</v>
      </c>
      <c r="CM36" s="562">
        <f t="shared" si="54"/>
        <v>0.72228202368137784</v>
      </c>
      <c r="CN36" s="200">
        <v>1489</v>
      </c>
      <c r="CO36" s="206">
        <f t="shared" si="38"/>
        <v>-111</v>
      </c>
      <c r="CP36" s="199">
        <f t="shared" si="39"/>
        <v>-6.9375000000000006E-2</v>
      </c>
    </row>
    <row r="37" spans="1:94" s="317" customFormat="1" ht="18" customHeight="1" x14ac:dyDescent="0.25">
      <c r="A37" s="314" t="s">
        <v>158</v>
      </c>
      <c r="B37" s="310" t="s">
        <v>132</v>
      </c>
      <c r="C37" s="310" t="s">
        <v>132</v>
      </c>
      <c r="D37" s="310" t="s">
        <v>132</v>
      </c>
      <c r="E37" s="310" t="s">
        <v>132</v>
      </c>
      <c r="F37" s="310" t="s">
        <v>132</v>
      </c>
      <c r="G37" s="310" t="s">
        <v>132</v>
      </c>
      <c r="H37" s="310" t="s">
        <v>132</v>
      </c>
      <c r="I37" s="310" t="s">
        <v>132</v>
      </c>
      <c r="J37" s="310" t="s">
        <v>132</v>
      </c>
      <c r="K37" s="310" t="s">
        <v>132</v>
      </c>
      <c r="L37" s="315"/>
      <c r="M37" s="315"/>
      <c r="N37" s="316"/>
      <c r="O37" s="315"/>
      <c r="P37" s="315"/>
      <c r="Q37" s="316"/>
      <c r="R37" s="315"/>
      <c r="S37" s="315"/>
      <c r="T37" s="316"/>
      <c r="U37" s="315"/>
      <c r="V37" s="315"/>
      <c r="W37" s="316"/>
      <c r="X37" s="463"/>
      <c r="Y37" s="315"/>
      <c r="Z37" s="577"/>
      <c r="AA37" s="423"/>
      <c r="AB37" s="466"/>
      <c r="AC37" s="433"/>
      <c r="AF37" s="204"/>
      <c r="AG37" s="204"/>
      <c r="AH37" s="304"/>
      <c r="AI37" s="319"/>
      <c r="AJ37" s="68"/>
      <c r="AM37" s="204"/>
      <c r="AN37" s="68"/>
      <c r="AO37" s="68"/>
      <c r="AP37" s="319"/>
      <c r="AQ37" s="319"/>
      <c r="AR37" s="200">
        <f t="shared" si="23"/>
        <v>0</v>
      </c>
      <c r="AS37" s="204">
        <f t="shared" si="24"/>
        <v>123626.55533999999</v>
      </c>
      <c r="AT37" s="200">
        <f t="shared" si="25"/>
        <v>123626.55533999999</v>
      </c>
      <c r="AU37" s="205" t="e">
        <f t="shared" si="26"/>
        <v>#DIV/0!</v>
      </c>
      <c r="AV37" s="200"/>
      <c r="AW37" s="205"/>
      <c r="AX37" s="560"/>
      <c r="AY37" s="204">
        <f t="shared" si="27"/>
        <v>0</v>
      </c>
      <c r="AZ37" s="304" t="e">
        <f t="shared" si="28"/>
        <v>#DIV/0!</v>
      </c>
      <c r="BA37" s="560">
        <f>123657.12571+1565.217</f>
        <v>125222.34271</v>
      </c>
      <c r="BB37" s="560">
        <f>122657.12852+969.42682</f>
        <v>123626.55533999999</v>
      </c>
      <c r="BC37" s="560">
        <f t="shared" si="29"/>
        <v>1595.7873700000055</v>
      </c>
      <c r="BD37" s="304">
        <f t="shared" si="30"/>
        <v>1.2743631331795626E-2</v>
      </c>
      <c r="BE37" s="315"/>
      <c r="BF37" s="204">
        <f t="shared" si="46"/>
        <v>0</v>
      </c>
      <c r="BG37" s="304" t="e">
        <f t="shared" si="47"/>
        <v>#DIV/0!</v>
      </c>
      <c r="BH37" s="200"/>
      <c r="BI37" s="200"/>
      <c r="BJ37" s="200"/>
      <c r="BK37" s="200"/>
      <c r="BL37" s="206">
        <f t="shared" si="31"/>
        <v>0</v>
      </c>
      <c r="BM37" s="206">
        <f t="shared" si="32"/>
        <v>-123626.55533999999</v>
      </c>
      <c r="BN37" s="206"/>
      <c r="BO37" s="561">
        <v>0</v>
      </c>
      <c r="BP37" s="206">
        <f t="shared" si="33"/>
        <v>0</v>
      </c>
      <c r="BQ37" s="199">
        <f t="shared" si="8"/>
        <v>-1</v>
      </c>
      <c r="BR37" s="205" t="e">
        <f t="shared" si="34"/>
        <v>#DIV/0!</v>
      </c>
      <c r="BS37" s="413"/>
      <c r="BV37" s="413"/>
      <c r="BW37" s="207">
        <f t="shared" si="48"/>
        <v>0</v>
      </c>
      <c r="BX37" s="206">
        <v>0</v>
      </c>
      <c r="BY37" s="206"/>
      <c r="BZ37" s="206">
        <f t="shared" si="42"/>
        <v>0</v>
      </c>
      <c r="CA37" s="206">
        <f t="shared" si="40"/>
        <v>0</v>
      </c>
      <c r="CB37" s="199" t="e">
        <f t="shared" si="41"/>
        <v>#DIV/0!</v>
      </c>
      <c r="CC37" s="413">
        <v>0</v>
      </c>
      <c r="CD37" s="413">
        <v>0</v>
      </c>
      <c r="CE37" s="413"/>
      <c r="CF37" s="206">
        <f t="shared" si="43"/>
        <v>0</v>
      </c>
      <c r="CG37" s="206">
        <f t="shared" si="35"/>
        <v>0</v>
      </c>
      <c r="CH37" s="304" t="e">
        <f t="shared" si="36"/>
        <v>#DIV/0!</v>
      </c>
      <c r="CI37" s="413">
        <v>0</v>
      </c>
      <c r="CJ37" s="413"/>
      <c r="CK37" s="413">
        <f t="shared" si="10"/>
        <v>0</v>
      </c>
      <c r="CL37" s="206">
        <f t="shared" si="37"/>
        <v>0</v>
      </c>
      <c r="CM37" s="562" t="e">
        <f t="shared" si="54"/>
        <v>#DIV/0!</v>
      </c>
      <c r="CN37" s="317">
        <v>0</v>
      </c>
      <c r="CO37" s="206">
        <f t="shared" si="38"/>
        <v>0</v>
      </c>
      <c r="CP37" s="199" t="e">
        <f t="shared" si="39"/>
        <v>#DIV/0!</v>
      </c>
    </row>
    <row r="38" spans="1:94" s="317" customFormat="1" ht="18" customHeight="1" x14ac:dyDescent="0.25">
      <c r="A38" s="314" t="s">
        <v>159</v>
      </c>
      <c r="B38" s="310" t="s">
        <v>132</v>
      </c>
      <c r="C38" s="310" t="s">
        <v>132</v>
      </c>
      <c r="D38" s="310" t="s">
        <v>132</v>
      </c>
      <c r="E38" s="310" t="s">
        <v>132</v>
      </c>
      <c r="F38" s="310" t="s">
        <v>132</v>
      </c>
      <c r="G38" s="310" t="s">
        <v>132</v>
      </c>
      <c r="H38" s="310" t="s">
        <v>132</v>
      </c>
      <c r="I38" s="310" t="s">
        <v>132</v>
      </c>
      <c r="J38" s="310" t="s">
        <v>132</v>
      </c>
      <c r="K38" s="310" t="s">
        <v>132</v>
      </c>
      <c r="L38" s="315"/>
      <c r="M38" s="315"/>
      <c r="N38" s="316"/>
      <c r="O38" s="315"/>
      <c r="P38" s="315"/>
      <c r="Q38" s="316"/>
      <c r="R38" s="315"/>
      <c r="S38" s="315"/>
      <c r="T38" s="316"/>
      <c r="U38" s="315"/>
      <c r="V38" s="315"/>
      <c r="W38" s="316"/>
      <c r="X38" s="463"/>
      <c r="Y38" s="315"/>
      <c r="Z38" s="577"/>
      <c r="AA38" s="423"/>
      <c r="AB38" s="466"/>
      <c r="AC38" s="433"/>
      <c r="AF38" s="204"/>
      <c r="AG38" s="204">
        <f t="shared" si="20"/>
        <v>0</v>
      </c>
      <c r="AH38" s="304" t="e">
        <f t="shared" si="21"/>
        <v>#DIV/0!</v>
      </c>
      <c r="AI38" s="319"/>
      <c r="AJ38" s="68"/>
      <c r="AM38" s="204"/>
      <c r="AN38" s="68">
        <v>123860</v>
      </c>
      <c r="AO38" s="68">
        <v>124425</v>
      </c>
      <c r="AP38" s="319"/>
      <c r="AQ38" s="319"/>
      <c r="AR38" s="200">
        <f t="shared" si="23"/>
        <v>0</v>
      </c>
      <c r="AS38" s="204">
        <f t="shared" si="24"/>
        <v>2951</v>
      </c>
      <c r="AT38" s="200">
        <f t="shared" si="25"/>
        <v>2951</v>
      </c>
      <c r="AU38" s="205" t="e">
        <f t="shared" si="26"/>
        <v>#DIV/0!</v>
      </c>
      <c r="AV38" s="200"/>
      <c r="AW38" s="205"/>
      <c r="AX38" s="315">
        <v>2951</v>
      </c>
      <c r="AY38" s="204">
        <f t="shared" si="27"/>
        <v>2951</v>
      </c>
      <c r="AZ38" s="304" t="e">
        <f t="shared" si="28"/>
        <v>#DIV/0!</v>
      </c>
      <c r="BA38" s="560">
        <v>2951</v>
      </c>
      <c r="BB38" s="560">
        <v>2951</v>
      </c>
      <c r="BC38" s="560">
        <f t="shared" si="29"/>
        <v>0</v>
      </c>
      <c r="BD38" s="304">
        <f t="shared" si="30"/>
        <v>0</v>
      </c>
      <c r="BE38" s="423">
        <v>0</v>
      </c>
      <c r="BF38" s="204">
        <f t="shared" si="46"/>
        <v>-2951</v>
      </c>
      <c r="BG38" s="304">
        <f t="shared" si="47"/>
        <v>-1</v>
      </c>
      <c r="BH38" s="200"/>
      <c r="BI38" s="200"/>
      <c r="BJ38" s="200"/>
      <c r="BK38" s="200"/>
      <c r="BL38" s="206">
        <f t="shared" si="31"/>
        <v>0</v>
      </c>
      <c r="BM38" s="206">
        <f t="shared" si="32"/>
        <v>-2951</v>
      </c>
      <c r="BN38" s="206">
        <v>2951</v>
      </c>
      <c r="BO38" s="561">
        <v>0</v>
      </c>
      <c r="BP38" s="206">
        <f t="shared" si="33"/>
        <v>0</v>
      </c>
      <c r="BQ38" s="199">
        <f t="shared" si="8"/>
        <v>-1</v>
      </c>
      <c r="BR38" s="205" t="e">
        <f t="shared" si="34"/>
        <v>#DIV/0!</v>
      </c>
      <c r="BS38" s="413"/>
      <c r="BV38" s="413"/>
      <c r="BW38" s="207">
        <f t="shared" si="48"/>
        <v>2951</v>
      </c>
      <c r="BX38" s="206">
        <v>0</v>
      </c>
      <c r="BY38" s="206"/>
      <c r="BZ38" s="206">
        <f t="shared" si="42"/>
        <v>0</v>
      </c>
      <c r="CA38" s="206">
        <f t="shared" si="40"/>
        <v>0</v>
      </c>
      <c r="CB38" s="199" t="e">
        <f t="shared" si="41"/>
        <v>#DIV/0!</v>
      </c>
      <c r="CC38" s="413">
        <v>0</v>
      </c>
      <c r="CD38" s="413">
        <v>0</v>
      </c>
      <c r="CE38" s="413"/>
      <c r="CF38" s="206">
        <f t="shared" si="43"/>
        <v>0</v>
      </c>
      <c r="CG38" s="206">
        <f t="shared" si="35"/>
        <v>0</v>
      </c>
      <c r="CH38" s="304" t="e">
        <f t="shared" si="36"/>
        <v>#DIV/0!</v>
      </c>
      <c r="CI38" s="413">
        <v>0</v>
      </c>
      <c r="CJ38" s="413"/>
      <c r="CK38" s="413">
        <f t="shared" si="10"/>
        <v>0</v>
      </c>
      <c r="CL38" s="206">
        <f t="shared" si="37"/>
        <v>0</v>
      </c>
      <c r="CM38" s="562" t="e">
        <f t="shared" si="54"/>
        <v>#DIV/0!</v>
      </c>
      <c r="CN38" s="317">
        <v>0</v>
      </c>
      <c r="CO38" s="206">
        <f t="shared" si="38"/>
        <v>0</v>
      </c>
      <c r="CP38" s="199" t="e">
        <f t="shared" si="39"/>
        <v>#DIV/0!</v>
      </c>
    </row>
    <row r="39" spans="1:94" s="373" customFormat="1" ht="18" customHeight="1" x14ac:dyDescent="0.25">
      <c r="A39" s="578" t="s">
        <v>160</v>
      </c>
      <c r="B39" s="302" t="s">
        <v>132</v>
      </c>
      <c r="C39" s="310" t="s">
        <v>132</v>
      </c>
      <c r="D39" s="310" t="s">
        <v>132</v>
      </c>
      <c r="E39" s="310" t="s">
        <v>132</v>
      </c>
      <c r="F39" s="302" t="s">
        <v>132</v>
      </c>
      <c r="G39" s="310" t="s">
        <v>132</v>
      </c>
      <c r="H39" s="310" t="s">
        <v>132</v>
      </c>
      <c r="I39" s="310" t="s">
        <v>132</v>
      </c>
      <c r="J39" s="310" t="s">
        <v>132</v>
      </c>
      <c r="K39" s="310" t="s">
        <v>132</v>
      </c>
      <c r="L39" s="579"/>
      <c r="M39" s="579"/>
      <c r="N39" s="580"/>
      <c r="O39" s="579"/>
      <c r="P39" s="579"/>
      <c r="Q39" s="580"/>
      <c r="R39" s="579"/>
      <c r="S39" s="579"/>
      <c r="T39" s="580"/>
      <c r="U39" s="579"/>
      <c r="V39" s="579"/>
      <c r="W39" s="580"/>
      <c r="X39" s="581">
        <v>10000</v>
      </c>
      <c r="Y39" s="579">
        <f>X39-U39</f>
        <v>10000</v>
      </c>
      <c r="Z39" s="582" t="s">
        <v>132</v>
      </c>
      <c r="AA39" s="583"/>
      <c r="AB39" s="584">
        <f>AA39-X39</f>
        <v>-10000</v>
      </c>
      <c r="AC39" s="585">
        <f>AB39/X39</f>
        <v>-1</v>
      </c>
      <c r="AF39" s="579"/>
      <c r="AG39" s="204">
        <f>AF39-AA39</f>
        <v>0</v>
      </c>
      <c r="AH39" s="304" t="e">
        <f>AG39/AA39</f>
        <v>#DIV/0!</v>
      </c>
      <c r="AJ39" s="373">
        <v>0</v>
      </c>
      <c r="AM39" s="586">
        <f>+AL39+AK39</f>
        <v>0</v>
      </c>
      <c r="AP39" s="587"/>
      <c r="AQ39" s="587"/>
      <c r="AR39" s="200">
        <f t="shared" si="23"/>
        <v>0</v>
      </c>
      <c r="AS39" s="204">
        <f t="shared" si="24"/>
        <v>0</v>
      </c>
      <c r="AT39" s="200">
        <f t="shared" si="25"/>
        <v>0</v>
      </c>
      <c r="AU39" s="205" t="e">
        <f t="shared" si="26"/>
        <v>#DIV/0!</v>
      </c>
      <c r="AV39" s="588"/>
      <c r="AW39" s="589"/>
      <c r="AX39" s="579"/>
      <c r="AY39" s="204">
        <f t="shared" si="27"/>
        <v>0</v>
      </c>
      <c r="AZ39" s="304" t="e">
        <f t="shared" si="28"/>
        <v>#DIV/0!</v>
      </c>
      <c r="BA39" s="304"/>
      <c r="BB39" s="304"/>
      <c r="BC39" s="560">
        <f t="shared" si="29"/>
        <v>0</v>
      </c>
      <c r="BD39" s="304"/>
      <c r="BE39" s="579"/>
      <c r="BF39" s="204">
        <f t="shared" si="46"/>
        <v>0</v>
      </c>
      <c r="BG39" s="304" t="e">
        <f t="shared" si="47"/>
        <v>#DIV/0!</v>
      </c>
      <c r="BH39" s="200"/>
      <c r="BI39" s="200"/>
      <c r="BJ39" s="200"/>
      <c r="BK39" s="200"/>
      <c r="BL39" s="206">
        <f t="shared" si="31"/>
        <v>0</v>
      </c>
      <c r="BM39" s="206">
        <f t="shared" si="32"/>
        <v>0</v>
      </c>
      <c r="BN39" s="206"/>
      <c r="BO39" s="561"/>
      <c r="BP39" s="206">
        <f t="shared" si="33"/>
        <v>0</v>
      </c>
      <c r="BQ39" s="199" t="e">
        <f t="shared" si="8"/>
        <v>#DIV/0!</v>
      </c>
      <c r="BR39" s="205" t="e">
        <f t="shared" si="34"/>
        <v>#DIV/0!</v>
      </c>
      <c r="BS39" s="590"/>
      <c r="BV39" s="590"/>
      <c r="BW39" s="207">
        <f t="shared" si="48"/>
        <v>0</v>
      </c>
      <c r="BX39" s="206"/>
      <c r="BY39" s="206"/>
      <c r="BZ39" s="206">
        <f t="shared" si="42"/>
        <v>0</v>
      </c>
      <c r="CA39" s="206">
        <f t="shared" si="40"/>
        <v>0</v>
      </c>
      <c r="CB39" s="199" t="e">
        <f t="shared" si="41"/>
        <v>#DIV/0!</v>
      </c>
      <c r="CC39" s="590">
        <v>0</v>
      </c>
      <c r="CD39" s="590">
        <v>0</v>
      </c>
      <c r="CE39" s="590"/>
      <c r="CF39" s="206">
        <f t="shared" si="43"/>
        <v>0</v>
      </c>
      <c r="CG39" s="206">
        <f t="shared" si="35"/>
        <v>0</v>
      </c>
      <c r="CH39" s="304" t="e">
        <f t="shared" si="36"/>
        <v>#DIV/0!</v>
      </c>
      <c r="CI39" s="590">
        <v>0</v>
      </c>
      <c r="CJ39" s="590"/>
      <c r="CK39" s="413">
        <f t="shared" si="10"/>
        <v>0</v>
      </c>
      <c r="CL39" s="206">
        <f t="shared" si="37"/>
        <v>0</v>
      </c>
      <c r="CM39" s="562" t="e">
        <f t="shared" si="54"/>
        <v>#DIV/0!</v>
      </c>
      <c r="CN39" s="373">
        <v>0</v>
      </c>
      <c r="CO39" s="206">
        <f t="shared" si="38"/>
        <v>0</v>
      </c>
      <c r="CP39" s="199" t="e">
        <f t="shared" si="39"/>
        <v>#DIV/0!</v>
      </c>
    </row>
    <row r="40" spans="1:94" s="373" customFormat="1" ht="18" customHeight="1" x14ac:dyDescent="0.25">
      <c r="A40" s="314" t="s">
        <v>161</v>
      </c>
      <c r="B40" s="302"/>
      <c r="C40" s="310"/>
      <c r="D40" s="310"/>
      <c r="E40" s="310"/>
      <c r="F40" s="302"/>
      <c r="G40" s="310"/>
      <c r="H40" s="310"/>
      <c r="I40" s="310"/>
      <c r="J40" s="310"/>
      <c r="K40" s="310"/>
      <c r="L40" s="579"/>
      <c r="M40" s="579"/>
      <c r="N40" s="580"/>
      <c r="O40" s="579"/>
      <c r="P40" s="579"/>
      <c r="Q40" s="580"/>
      <c r="R40" s="579"/>
      <c r="S40" s="579"/>
      <c r="T40" s="580"/>
      <c r="U40" s="579"/>
      <c r="V40" s="579"/>
      <c r="W40" s="580"/>
      <c r="X40" s="581"/>
      <c r="Y40" s="579"/>
      <c r="Z40" s="582"/>
      <c r="AA40" s="583"/>
      <c r="AB40" s="584"/>
      <c r="AC40" s="585"/>
      <c r="AF40" s="579"/>
      <c r="AG40" s="204"/>
      <c r="AH40" s="304"/>
      <c r="AM40" s="586"/>
      <c r="AP40" s="587"/>
      <c r="AQ40" s="587"/>
      <c r="AR40" s="200"/>
      <c r="AS40" s="204">
        <f t="shared" si="24"/>
        <v>19599.482800000002</v>
      </c>
      <c r="AT40" s="200"/>
      <c r="AU40" s="205"/>
      <c r="AV40" s="588"/>
      <c r="AW40" s="589"/>
      <c r="AX40" s="579"/>
      <c r="AY40" s="204"/>
      <c r="AZ40" s="304"/>
      <c r="BA40" s="591">
        <f>7735.05771+13533.70123</f>
        <v>21268.75894</v>
      </c>
      <c r="BB40" s="591">
        <f>7136.02603+12463.45677</f>
        <v>19599.482800000002</v>
      </c>
      <c r="BC40" s="560">
        <f t="shared" si="29"/>
        <v>1669.2761399999981</v>
      </c>
      <c r="BD40" s="304">
        <f t="shared" si="30"/>
        <v>7.8484886904266082E-2</v>
      </c>
      <c r="BE40" s="579"/>
      <c r="BF40" s="204"/>
      <c r="BG40" s="304"/>
      <c r="BH40" s="200"/>
      <c r="BI40" s="200"/>
      <c r="BJ40" s="200"/>
      <c r="BK40" s="200"/>
      <c r="BL40" s="206"/>
      <c r="BM40" s="206"/>
      <c r="BN40" s="206"/>
      <c r="BO40" s="206"/>
      <c r="BP40" s="206">
        <f t="shared" si="33"/>
        <v>0</v>
      </c>
      <c r="BQ40" s="199"/>
      <c r="BR40" s="205" t="e">
        <f t="shared" si="34"/>
        <v>#DIV/0!</v>
      </c>
      <c r="BS40" s="590"/>
      <c r="BV40" s="590">
        <v>717.851</v>
      </c>
      <c r="BW40" s="207">
        <f t="shared" si="48"/>
        <v>717.851</v>
      </c>
      <c r="BX40" s="206"/>
      <c r="BY40" s="206"/>
      <c r="BZ40" s="206">
        <f t="shared" si="42"/>
        <v>0</v>
      </c>
      <c r="CA40" s="206">
        <f t="shared" si="40"/>
        <v>0</v>
      </c>
      <c r="CB40" s="199" t="e">
        <f t="shared" si="41"/>
        <v>#DIV/0!</v>
      </c>
      <c r="CC40" s="590">
        <v>0</v>
      </c>
      <c r="CD40" s="590">
        <v>0</v>
      </c>
      <c r="CE40" s="590"/>
      <c r="CF40" s="206">
        <f t="shared" si="43"/>
        <v>0</v>
      </c>
      <c r="CG40" s="206">
        <f t="shared" si="35"/>
        <v>0</v>
      </c>
      <c r="CH40" s="304" t="e">
        <f t="shared" si="36"/>
        <v>#DIV/0!</v>
      </c>
      <c r="CI40" s="590">
        <v>0</v>
      </c>
      <c r="CJ40" s="590"/>
      <c r="CK40" s="413">
        <f t="shared" si="10"/>
        <v>0</v>
      </c>
      <c r="CL40" s="206">
        <f t="shared" si="37"/>
        <v>0</v>
      </c>
      <c r="CM40" s="562" t="e">
        <f t="shared" si="54"/>
        <v>#DIV/0!</v>
      </c>
      <c r="CN40" s="373">
        <v>0</v>
      </c>
      <c r="CO40" s="206">
        <f t="shared" si="38"/>
        <v>0</v>
      </c>
      <c r="CP40" s="199" t="e">
        <f t="shared" si="39"/>
        <v>#DIV/0!</v>
      </c>
    </row>
    <row r="41" spans="1:94" s="373" customFormat="1" ht="18" customHeight="1" x14ac:dyDescent="0.25">
      <c r="A41" s="314" t="s">
        <v>162</v>
      </c>
      <c r="B41" s="302" t="s">
        <v>132</v>
      </c>
      <c r="C41" s="310" t="s">
        <v>132</v>
      </c>
      <c r="D41" s="310" t="s">
        <v>132</v>
      </c>
      <c r="E41" s="310" t="s">
        <v>132</v>
      </c>
      <c r="F41" s="302" t="s">
        <v>132</v>
      </c>
      <c r="G41" s="310" t="s">
        <v>132</v>
      </c>
      <c r="H41" s="310" t="s">
        <v>132</v>
      </c>
      <c r="I41" s="310" t="s">
        <v>132</v>
      </c>
      <c r="J41" s="310" t="s">
        <v>132</v>
      </c>
      <c r="K41" s="310" t="s">
        <v>132</v>
      </c>
      <c r="L41" s="579"/>
      <c r="M41" s="579"/>
      <c r="N41" s="580"/>
      <c r="O41" s="579"/>
      <c r="P41" s="579"/>
      <c r="Q41" s="580"/>
      <c r="R41" s="579"/>
      <c r="S41" s="579"/>
      <c r="T41" s="580"/>
      <c r="U41" s="579"/>
      <c r="V41" s="579"/>
      <c r="W41" s="580"/>
      <c r="X41" s="581"/>
      <c r="Y41" s="579"/>
      <c r="Z41" s="582"/>
      <c r="AA41" s="583"/>
      <c r="AB41" s="584"/>
      <c r="AC41" s="585"/>
      <c r="AF41" s="579"/>
      <c r="AG41" s="204"/>
      <c r="AH41" s="304"/>
      <c r="AM41" s="586"/>
      <c r="AP41" s="587"/>
      <c r="AQ41" s="587"/>
      <c r="AR41" s="200"/>
      <c r="AS41" s="204"/>
      <c r="AT41" s="200"/>
      <c r="AU41" s="205"/>
      <c r="AV41" s="588"/>
      <c r="AW41" s="589"/>
      <c r="AX41" s="579"/>
      <c r="AY41" s="204"/>
      <c r="AZ41" s="304"/>
      <c r="BA41" s="591"/>
      <c r="BB41" s="591"/>
      <c r="BC41" s="560"/>
      <c r="BD41" s="304"/>
      <c r="BE41" s="579"/>
      <c r="BF41" s="204"/>
      <c r="BG41" s="304"/>
      <c r="BH41" s="200"/>
      <c r="BI41" s="200"/>
      <c r="BJ41" s="200"/>
      <c r="BK41" s="200"/>
      <c r="BL41" s="206"/>
      <c r="BM41" s="206"/>
      <c r="BN41" s="206"/>
      <c r="BO41" s="206"/>
      <c r="BP41" s="206"/>
      <c r="BQ41" s="199"/>
      <c r="BR41" s="205"/>
      <c r="BS41" s="590"/>
      <c r="BV41" s="590"/>
      <c r="BW41" s="207"/>
      <c r="BX41" s="206">
        <v>0</v>
      </c>
      <c r="BY41" s="206"/>
      <c r="BZ41" s="206">
        <v>0</v>
      </c>
      <c r="CA41" s="206">
        <v>0</v>
      </c>
      <c r="CB41" s="199"/>
      <c r="CC41" s="590">
        <v>15000</v>
      </c>
      <c r="CD41" s="590">
        <v>15000</v>
      </c>
      <c r="CE41" s="590"/>
      <c r="CF41" s="206">
        <f t="shared" si="43"/>
        <v>15000</v>
      </c>
      <c r="CG41" s="206">
        <f>CF41-BZ41</f>
        <v>15000</v>
      </c>
      <c r="CH41" s="304" t="e">
        <f t="shared" si="36"/>
        <v>#DIV/0!</v>
      </c>
      <c r="CI41" s="206">
        <v>0</v>
      </c>
      <c r="CJ41" s="206"/>
      <c r="CK41" s="206">
        <f t="shared" si="10"/>
        <v>0</v>
      </c>
      <c r="CL41" s="206">
        <f t="shared" si="37"/>
        <v>-15000</v>
      </c>
      <c r="CM41" s="562">
        <f t="shared" si="54"/>
        <v>-1</v>
      </c>
      <c r="CN41" s="373">
        <v>0</v>
      </c>
      <c r="CO41" s="206">
        <f t="shared" si="38"/>
        <v>0</v>
      </c>
      <c r="CP41" s="199" t="e">
        <f t="shared" si="39"/>
        <v>#DIV/0!</v>
      </c>
    </row>
    <row r="42" spans="1:94" s="373" customFormat="1" ht="18" customHeight="1" x14ac:dyDescent="0.25">
      <c r="A42" s="314" t="s">
        <v>163</v>
      </c>
      <c r="B42" s="302" t="s">
        <v>132</v>
      </c>
      <c r="C42" s="310" t="s">
        <v>132</v>
      </c>
      <c r="D42" s="310" t="s">
        <v>132</v>
      </c>
      <c r="E42" s="310" t="s">
        <v>132</v>
      </c>
      <c r="F42" s="302" t="s">
        <v>132</v>
      </c>
      <c r="G42" s="310" t="s">
        <v>132</v>
      </c>
      <c r="H42" s="310" t="s">
        <v>132</v>
      </c>
      <c r="I42" s="310" t="s">
        <v>132</v>
      </c>
      <c r="J42" s="310" t="s">
        <v>132</v>
      </c>
      <c r="K42" s="310" t="s">
        <v>132</v>
      </c>
      <c r="L42" s="579"/>
      <c r="M42" s="579"/>
      <c r="N42" s="580"/>
      <c r="O42" s="579"/>
      <c r="P42" s="579"/>
      <c r="Q42" s="580"/>
      <c r="R42" s="579"/>
      <c r="S42" s="579"/>
      <c r="T42" s="580"/>
      <c r="U42" s="579"/>
      <c r="V42" s="579"/>
      <c r="W42" s="580"/>
      <c r="X42" s="581"/>
      <c r="Y42" s="579"/>
      <c r="Z42" s="582"/>
      <c r="AA42" s="583"/>
      <c r="AB42" s="584"/>
      <c r="AC42" s="585"/>
      <c r="AF42" s="579"/>
      <c r="AG42" s="204"/>
      <c r="AH42" s="304"/>
      <c r="AM42" s="586"/>
      <c r="AP42" s="587"/>
      <c r="AQ42" s="587"/>
      <c r="AR42" s="200"/>
      <c r="AS42" s="204"/>
      <c r="AT42" s="200"/>
      <c r="AU42" s="205"/>
      <c r="AV42" s="588"/>
      <c r="AW42" s="589"/>
      <c r="AX42" s="579"/>
      <c r="AY42" s="204"/>
      <c r="AZ42" s="304"/>
      <c r="BA42" s="591"/>
      <c r="BB42" s="591"/>
      <c r="BC42" s="560"/>
      <c r="BD42" s="304"/>
      <c r="BE42" s="579"/>
      <c r="BF42" s="204"/>
      <c r="BG42" s="304"/>
      <c r="BH42" s="200"/>
      <c r="BI42" s="200"/>
      <c r="BJ42" s="200"/>
      <c r="BK42" s="200"/>
      <c r="BL42" s="206"/>
      <c r="BM42" s="206"/>
      <c r="BN42" s="206"/>
      <c r="BO42" s="206"/>
      <c r="BP42" s="206"/>
      <c r="BQ42" s="199"/>
      <c r="BR42" s="205"/>
      <c r="BS42" s="590"/>
      <c r="BV42" s="590"/>
      <c r="BW42" s="207"/>
      <c r="BX42" s="206"/>
      <c r="BY42" s="206"/>
      <c r="BZ42" s="206"/>
      <c r="CA42" s="206"/>
      <c r="CB42" s="199"/>
      <c r="CC42" s="590">
        <v>200</v>
      </c>
      <c r="CD42" s="590">
        <v>200</v>
      </c>
      <c r="CE42" s="590"/>
      <c r="CF42" s="206">
        <f t="shared" si="43"/>
        <v>200</v>
      </c>
      <c r="CG42" s="206">
        <f t="shared" si="35"/>
        <v>200</v>
      </c>
      <c r="CH42" s="304" t="e">
        <f t="shared" si="36"/>
        <v>#DIV/0!</v>
      </c>
      <c r="CI42" s="413">
        <v>0</v>
      </c>
      <c r="CJ42" s="413"/>
      <c r="CK42" s="413">
        <f t="shared" si="10"/>
        <v>0</v>
      </c>
      <c r="CL42" s="206">
        <f t="shared" si="37"/>
        <v>-200</v>
      </c>
      <c r="CM42" s="562">
        <f t="shared" si="54"/>
        <v>-1</v>
      </c>
      <c r="CN42" s="373">
        <v>0</v>
      </c>
      <c r="CO42" s="206">
        <f t="shared" si="38"/>
        <v>0</v>
      </c>
      <c r="CP42" s="199" t="e">
        <f t="shared" si="39"/>
        <v>#DIV/0!</v>
      </c>
    </row>
    <row r="43" spans="1:94" s="373" customFormat="1" ht="18" customHeight="1" x14ac:dyDescent="0.25">
      <c r="A43" s="314" t="s">
        <v>164</v>
      </c>
      <c r="B43" s="302"/>
      <c r="C43" s="310"/>
      <c r="D43" s="310"/>
      <c r="E43" s="310"/>
      <c r="F43" s="302"/>
      <c r="G43" s="310"/>
      <c r="H43" s="310"/>
      <c r="I43" s="310"/>
      <c r="J43" s="310"/>
      <c r="K43" s="310"/>
      <c r="L43" s="579"/>
      <c r="M43" s="579"/>
      <c r="N43" s="580"/>
      <c r="O43" s="579"/>
      <c r="P43" s="579"/>
      <c r="Q43" s="580"/>
      <c r="R43" s="579"/>
      <c r="S43" s="579"/>
      <c r="T43" s="580"/>
      <c r="U43" s="579"/>
      <c r="V43" s="579"/>
      <c r="W43" s="580"/>
      <c r="X43" s="581"/>
      <c r="Y43" s="579"/>
      <c r="Z43" s="582"/>
      <c r="AA43" s="583"/>
      <c r="AB43" s="584"/>
      <c r="AC43" s="585"/>
      <c r="AF43" s="579"/>
      <c r="AG43" s="204"/>
      <c r="AH43" s="304"/>
      <c r="AM43" s="586"/>
      <c r="AP43" s="587"/>
      <c r="AQ43" s="587"/>
      <c r="AR43" s="200"/>
      <c r="AS43" s="204"/>
      <c r="AT43" s="200"/>
      <c r="AU43" s="205"/>
      <c r="AV43" s="588"/>
      <c r="AW43" s="589"/>
      <c r="AX43" s="579"/>
      <c r="AY43" s="204"/>
      <c r="AZ43" s="304"/>
      <c r="BA43" s="591"/>
      <c r="BB43" s="591"/>
      <c r="BC43" s="560"/>
      <c r="BD43" s="304"/>
      <c r="BE43" s="579"/>
      <c r="BF43" s="204"/>
      <c r="BG43" s="304"/>
      <c r="BH43" s="200"/>
      <c r="BI43" s="200"/>
      <c r="BJ43" s="200"/>
      <c r="BK43" s="200"/>
      <c r="BL43" s="206"/>
      <c r="BM43" s="206"/>
      <c r="BN43" s="206">
        <v>0</v>
      </c>
      <c r="BO43" s="206">
        <v>0</v>
      </c>
      <c r="BP43" s="206"/>
      <c r="BQ43" s="199"/>
      <c r="BR43" s="205"/>
      <c r="BS43" s="590"/>
      <c r="BV43" s="590"/>
      <c r="BW43" s="207"/>
      <c r="BX43" s="206">
        <v>0</v>
      </c>
      <c r="BY43" s="206"/>
      <c r="BZ43" s="206">
        <v>0</v>
      </c>
      <c r="CA43" s="206"/>
      <c r="CB43" s="199"/>
      <c r="CC43" s="590">
        <v>50</v>
      </c>
      <c r="CD43" s="590">
        <v>50</v>
      </c>
      <c r="CE43" s="590"/>
      <c r="CF43">
        <v>44</v>
      </c>
      <c r="CG43" s="206">
        <f>CF43-BZ43</f>
        <v>44</v>
      </c>
      <c r="CH43" s="304" t="e">
        <f>CG43/BZ43</f>
        <v>#DIV/0!</v>
      </c>
      <c r="CI43" s="413">
        <v>50</v>
      </c>
      <c r="CJ43" s="413"/>
      <c r="CK43" s="413">
        <f t="shared" si="10"/>
        <v>50</v>
      </c>
      <c r="CL43" s="206">
        <f t="shared" si="37"/>
        <v>6</v>
      </c>
      <c r="CM43" s="562">
        <f t="shared" si="54"/>
        <v>0.13636363636363635</v>
      </c>
      <c r="CN43">
        <v>50</v>
      </c>
      <c r="CO43" s="206">
        <f t="shared" si="38"/>
        <v>0</v>
      </c>
      <c r="CP43" s="199">
        <f t="shared" si="39"/>
        <v>0</v>
      </c>
    </row>
    <row r="44" spans="1:94" s="317" customFormat="1" ht="18" customHeight="1" x14ac:dyDescent="0.25">
      <c r="A44" s="68" t="s">
        <v>165</v>
      </c>
      <c r="B44" s="302" t="s">
        <v>132</v>
      </c>
      <c r="C44" s="302" t="s">
        <v>132</v>
      </c>
      <c r="D44" s="302" t="s">
        <v>132</v>
      </c>
      <c r="E44" s="302" t="s">
        <v>132</v>
      </c>
      <c r="F44" s="302" t="s">
        <v>132</v>
      </c>
      <c r="G44" s="302" t="s">
        <v>132</v>
      </c>
      <c r="H44" s="302" t="s">
        <v>132</v>
      </c>
      <c r="I44" s="302" t="s">
        <v>132</v>
      </c>
      <c r="J44" s="302" t="s">
        <v>132</v>
      </c>
      <c r="K44" s="302" t="s">
        <v>132</v>
      </c>
      <c r="N44" s="324"/>
      <c r="X44" s="463"/>
      <c r="Y44" s="464"/>
      <c r="Z44" s="577"/>
      <c r="AA44" s="423"/>
      <c r="AB44" s="315"/>
      <c r="AC44" s="433"/>
      <c r="AF44" s="315"/>
      <c r="AG44" s="315"/>
      <c r="AP44" s="318"/>
      <c r="AQ44" s="318"/>
      <c r="AR44" s="318"/>
      <c r="AS44" s="315">
        <f t="shared" si="24"/>
        <v>0</v>
      </c>
      <c r="AT44" s="318">
        <f t="shared" si="25"/>
        <v>0</v>
      </c>
      <c r="AU44" s="433" t="e">
        <f t="shared" si="26"/>
        <v>#DIV/0!</v>
      </c>
      <c r="AX44" s="315">
        <v>263</v>
      </c>
      <c r="AY44" s="315">
        <f t="shared" si="27"/>
        <v>263</v>
      </c>
      <c r="AZ44" s="316" t="e">
        <f t="shared" si="28"/>
        <v>#DIV/0!</v>
      </c>
      <c r="BA44" s="692">
        <v>0</v>
      </c>
      <c r="BB44" s="692">
        <v>0</v>
      </c>
      <c r="BC44" s="692">
        <f t="shared" si="29"/>
        <v>0</v>
      </c>
      <c r="BD44" s="316"/>
      <c r="BE44" s="315">
        <v>87</v>
      </c>
      <c r="BF44" s="315">
        <f>BE44-AX44</f>
        <v>-176</v>
      </c>
      <c r="BG44" s="316">
        <f>BF44/AX44</f>
        <v>-0.66920152091254748</v>
      </c>
      <c r="BH44" s="318"/>
      <c r="BI44" s="318"/>
      <c r="BJ44" s="318"/>
      <c r="BK44" s="318"/>
      <c r="BL44" s="413">
        <f t="shared" si="31"/>
        <v>87</v>
      </c>
      <c r="BM44" s="413">
        <f>BL44-AS44</f>
        <v>87</v>
      </c>
      <c r="BN44" s="413">
        <v>835</v>
      </c>
      <c r="BO44" s="413">
        <v>1039</v>
      </c>
      <c r="BP44" s="413">
        <f t="shared" si="33"/>
        <v>952</v>
      </c>
      <c r="BQ44" s="324" t="e">
        <f>BM44/AS44</f>
        <v>#DIV/0!</v>
      </c>
      <c r="BR44" s="433">
        <f t="shared" si="34"/>
        <v>10.942528735632184</v>
      </c>
      <c r="BS44" s="413"/>
      <c r="BV44" s="413"/>
      <c r="BW44" s="322">
        <f t="shared" si="48"/>
        <v>835</v>
      </c>
      <c r="BX44" s="413">
        <v>1039</v>
      </c>
      <c r="BY44" s="413"/>
      <c r="BZ44" s="413">
        <v>1041</v>
      </c>
      <c r="CA44" s="413">
        <f t="shared" si="40"/>
        <v>954</v>
      </c>
      <c r="CB44" s="324">
        <f t="shared" si="41"/>
        <v>10.96551724137931</v>
      </c>
      <c r="CC44" s="413">
        <v>1219</v>
      </c>
      <c r="CD44" s="413">
        <v>1315</v>
      </c>
      <c r="CE44" s="413"/>
      <c r="CF44" s="206">
        <v>1377</v>
      </c>
      <c r="CG44" s="413">
        <f t="shared" si="35"/>
        <v>336</v>
      </c>
      <c r="CH44" s="316">
        <f t="shared" si="36"/>
        <v>0.32276657060518732</v>
      </c>
      <c r="CI44" s="413">
        <v>1498</v>
      </c>
      <c r="CJ44" s="413"/>
      <c r="CK44" s="413">
        <f t="shared" si="10"/>
        <v>1498</v>
      </c>
      <c r="CL44" s="413">
        <f t="shared" si="37"/>
        <v>121</v>
      </c>
      <c r="CM44" s="679">
        <f t="shared" si="54"/>
        <v>8.7872185911401599E-2</v>
      </c>
      <c r="CN44" s="200">
        <v>1564</v>
      </c>
      <c r="CO44" s="413">
        <f t="shared" si="38"/>
        <v>66</v>
      </c>
      <c r="CP44" s="324">
        <f t="shared" si="39"/>
        <v>4.4058744993324434E-2</v>
      </c>
    </row>
    <row r="45" spans="1:94" s="317" customFormat="1" ht="18" customHeight="1" x14ac:dyDescent="0.25">
      <c r="A45" s="68" t="s">
        <v>499</v>
      </c>
      <c r="B45" s="302"/>
      <c r="C45" s="302"/>
      <c r="D45" s="302"/>
      <c r="E45" s="302"/>
      <c r="F45" s="302"/>
      <c r="G45" s="302"/>
      <c r="H45" s="302"/>
      <c r="I45" s="302"/>
      <c r="J45" s="302"/>
      <c r="K45" s="302"/>
      <c r="N45" s="324"/>
      <c r="X45" s="463"/>
      <c r="Y45" s="464"/>
      <c r="Z45" s="577"/>
      <c r="AA45" s="423"/>
      <c r="AB45" s="315"/>
      <c r="AC45" s="433"/>
      <c r="AF45" s="315"/>
      <c r="AG45" s="315"/>
      <c r="AP45" s="318"/>
      <c r="AQ45" s="318"/>
      <c r="AR45" s="318"/>
      <c r="AS45" s="315"/>
      <c r="AT45" s="318"/>
      <c r="AU45" s="433"/>
      <c r="AX45" s="315"/>
      <c r="AY45" s="315"/>
      <c r="AZ45" s="316"/>
      <c r="BA45" s="692"/>
      <c r="BB45" s="692"/>
      <c r="BC45" s="692"/>
      <c r="BD45" s="316"/>
      <c r="BE45" s="315"/>
      <c r="BF45" s="315"/>
      <c r="BG45" s="316"/>
      <c r="BH45" s="318"/>
      <c r="BI45" s="318"/>
      <c r="BJ45" s="318"/>
      <c r="BK45" s="318"/>
      <c r="BL45" s="413"/>
      <c r="BM45" s="413"/>
      <c r="BN45" s="413"/>
      <c r="BO45" s="413"/>
      <c r="BP45" s="413"/>
      <c r="BQ45" s="324"/>
      <c r="BR45" s="433"/>
      <c r="BS45" s="413"/>
      <c r="BV45" s="413"/>
      <c r="BW45" s="322"/>
      <c r="BX45" s="413"/>
      <c r="BY45" s="413"/>
      <c r="BZ45" s="413"/>
      <c r="CA45" s="413"/>
      <c r="CB45" s="324"/>
      <c r="CC45" s="413"/>
      <c r="CD45" s="413"/>
      <c r="CE45" s="413"/>
      <c r="CF45" s="413">
        <v>0</v>
      </c>
      <c r="CG45" s="413">
        <f>CF45-BZ45</f>
        <v>0</v>
      </c>
      <c r="CH45" s="316" t="e">
        <f>CG45/BZ45</f>
        <v>#DIV/0!</v>
      </c>
      <c r="CI45" s="413">
        <v>0</v>
      </c>
      <c r="CJ45" s="413"/>
      <c r="CK45" s="413">
        <f t="shared" si="10"/>
        <v>0</v>
      </c>
      <c r="CL45" s="413">
        <f>CK45-CF45</f>
        <v>0</v>
      </c>
      <c r="CM45" s="679" t="e">
        <f>CL45/CF45</f>
        <v>#DIV/0!</v>
      </c>
      <c r="CN45" s="17">
        <v>1596</v>
      </c>
      <c r="CO45" s="413">
        <f>CN45-CK45</f>
        <v>1596</v>
      </c>
      <c r="CP45" s="324" t="e">
        <f>CO45/CK45</f>
        <v>#DIV/0!</v>
      </c>
    </row>
    <row r="46" spans="1:94" s="317" customFormat="1" ht="18" customHeight="1" x14ac:dyDescent="0.25">
      <c r="A46" s="68" t="s">
        <v>502</v>
      </c>
      <c r="B46" s="302"/>
      <c r="C46" s="302"/>
      <c r="D46" s="302"/>
      <c r="E46" s="302"/>
      <c r="F46" s="302"/>
      <c r="G46" s="302"/>
      <c r="H46" s="302"/>
      <c r="I46" s="302"/>
      <c r="J46" s="302"/>
      <c r="K46" s="302"/>
      <c r="N46" s="324"/>
      <c r="X46" s="463"/>
      <c r="Y46" s="464"/>
      <c r="Z46" s="577"/>
      <c r="AA46" s="423"/>
      <c r="AB46" s="315"/>
      <c r="AC46" s="433"/>
      <c r="AF46" s="315"/>
      <c r="AG46" s="315"/>
      <c r="AP46" s="318"/>
      <c r="AQ46" s="318"/>
      <c r="AR46" s="318"/>
      <c r="AS46" s="315"/>
      <c r="AT46" s="318"/>
      <c r="AU46" s="433"/>
      <c r="AX46" s="315"/>
      <c r="AY46" s="315"/>
      <c r="AZ46" s="316"/>
      <c r="BA46" s="692"/>
      <c r="BB46" s="692"/>
      <c r="BC46" s="692"/>
      <c r="BD46" s="316"/>
      <c r="BE46" s="315"/>
      <c r="BF46" s="315"/>
      <c r="BG46" s="316"/>
      <c r="BH46" s="318"/>
      <c r="BI46" s="318"/>
      <c r="BJ46" s="318"/>
      <c r="BK46" s="318"/>
      <c r="BL46" s="413"/>
      <c r="BM46" s="413"/>
      <c r="BN46" s="413"/>
      <c r="BO46" s="413"/>
      <c r="BP46" s="413"/>
      <c r="BQ46" s="324"/>
      <c r="BR46" s="433"/>
      <c r="BS46" s="413"/>
      <c r="BV46" s="413"/>
      <c r="BW46" s="322"/>
      <c r="BX46" s="413"/>
      <c r="BY46" s="413"/>
      <c r="BZ46" s="413"/>
      <c r="CA46" s="413"/>
      <c r="CB46" s="324"/>
      <c r="CC46" s="413"/>
      <c r="CD46" s="413"/>
      <c r="CE46" s="413"/>
      <c r="CF46" s="413">
        <v>0</v>
      </c>
      <c r="CG46" s="413">
        <f>CF46-BZ46</f>
        <v>0</v>
      </c>
      <c r="CH46" s="316" t="e">
        <f>CG46/BZ46</f>
        <v>#DIV/0!</v>
      </c>
      <c r="CI46" s="413">
        <v>0</v>
      </c>
      <c r="CJ46" s="413"/>
      <c r="CK46" s="413">
        <f t="shared" si="10"/>
        <v>0</v>
      </c>
      <c r="CL46" s="413">
        <f>CK46-CF46</f>
        <v>0</v>
      </c>
      <c r="CM46" s="679" t="e">
        <f>CL46/CF46</f>
        <v>#DIV/0!</v>
      </c>
      <c r="CN46" s="17">
        <v>5356</v>
      </c>
      <c r="CO46" s="413">
        <f>CN46-CK46</f>
        <v>5356</v>
      </c>
      <c r="CP46" s="324" t="e">
        <f>CO46/CK46</f>
        <v>#DIV/0!</v>
      </c>
    </row>
    <row r="47" spans="1:94" s="317" customFormat="1" ht="18" customHeight="1" thickBot="1" x14ac:dyDescent="0.3">
      <c r="A47" s="68" t="s">
        <v>508</v>
      </c>
      <c r="B47" s="302"/>
      <c r="C47" s="302"/>
      <c r="D47" s="302"/>
      <c r="E47" s="302"/>
      <c r="F47" s="302"/>
      <c r="G47" s="302"/>
      <c r="H47" s="302"/>
      <c r="I47" s="302"/>
      <c r="J47" s="302"/>
      <c r="K47" s="302"/>
      <c r="N47" s="324"/>
      <c r="X47" s="463"/>
      <c r="Y47" s="464"/>
      <c r="Z47" s="577"/>
      <c r="AA47" s="423"/>
      <c r="AB47" s="315"/>
      <c r="AC47" s="433"/>
      <c r="AF47" s="315"/>
      <c r="AG47" s="315"/>
      <c r="AP47" s="318"/>
      <c r="AQ47" s="318"/>
      <c r="AR47" s="318"/>
      <c r="AS47" s="315"/>
      <c r="AT47" s="318"/>
      <c r="AU47" s="433"/>
      <c r="AX47" s="315"/>
      <c r="AY47" s="315"/>
      <c r="AZ47" s="316"/>
      <c r="BA47" s="692"/>
      <c r="BB47" s="692"/>
      <c r="BC47" s="692"/>
      <c r="BD47" s="316"/>
      <c r="BE47" s="315"/>
      <c r="BF47" s="315"/>
      <c r="BG47" s="316"/>
      <c r="BH47" s="318"/>
      <c r="BI47" s="318"/>
      <c r="BJ47" s="318"/>
      <c r="BK47" s="318"/>
      <c r="BL47" s="413"/>
      <c r="BM47" s="413"/>
      <c r="BN47" s="413"/>
      <c r="BO47" s="413"/>
      <c r="BP47" s="413"/>
      <c r="BQ47" s="324"/>
      <c r="BR47" s="433"/>
      <c r="BS47" s="413"/>
      <c r="BV47" s="413"/>
      <c r="BW47" s="322"/>
      <c r="BX47" s="413"/>
      <c r="BY47" s="413"/>
      <c r="BZ47" s="413"/>
      <c r="CA47" s="413"/>
      <c r="CB47" s="324"/>
      <c r="CC47" s="413"/>
      <c r="CD47" s="413"/>
      <c r="CE47" s="413"/>
      <c r="CF47" s="413">
        <v>0</v>
      </c>
      <c r="CG47" s="413">
        <f>CF47-BZ47</f>
        <v>0</v>
      </c>
      <c r="CH47" s="316" t="e">
        <f>CG47/BZ47</f>
        <v>#DIV/0!</v>
      </c>
      <c r="CI47" s="413">
        <v>0</v>
      </c>
      <c r="CJ47" s="413"/>
      <c r="CK47" s="413">
        <f t="shared" si="10"/>
        <v>0</v>
      </c>
      <c r="CL47" s="413">
        <f>CK47-CF47</f>
        <v>0</v>
      </c>
      <c r="CM47" s="679" t="e">
        <f>CL47/CF47</f>
        <v>#DIV/0!</v>
      </c>
      <c r="CN47" s="17">
        <v>698</v>
      </c>
      <c r="CO47" s="413">
        <f>CN47-CK47</f>
        <v>698</v>
      </c>
      <c r="CP47" s="324" t="e">
        <f>CO47/CK47</f>
        <v>#DIV/0!</v>
      </c>
    </row>
    <row r="48" spans="1:94" s="144" customFormat="1" ht="18" customHeight="1" x14ac:dyDescent="0.25">
      <c r="A48" s="335" t="s">
        <v>166</v>
      </c>
      <c r="B48" s="340">
        <f>SUM(B8:B44)</f>
        <v>204710</v>
      </c>
      <c r="C48" s="673">
        <f>SUM(C8:C44)</f>
        <v>220083</v>
      </c>
      <c r="D48" s="340">
        <f>C48-B48</f>
        <v>15373</v>
      </c>
      <c r="E48" s="337">
        <f t="shared" si="13"/>
        <v>7.5096477944409171E-2</v>
      </c>
      <c r="F48" s="340">
        <f>SUM(F7:F44)</f>
        <v>234498</v>
      </c>
      <c r="G48" s="338">
        <f t="shared" si="14"/>
        <v>14415</v>
      </c>
      <c r="H48" s="339">
        <f t="shared" si="15"/>
        <v>6.1471739631041626E-2</v>
      </c>
      <c r="I48" s="340">
        <f>SUM(I7:I44)</f>
        <v>206864</v>
      </c>
      <c r="J48" s="340">
        <f>I48-F48</f>
        <v>-27634</v>
      </c>
      <c r="K48" s="351">
        <f>(I48-F48)/F48</f>
        <v>-0.11784322254347585</v>
      </c>
      <c r="L48" s="340">
        <f>SUM(L7:L44)</f>
        <v>231364</v>
      </c>
      <c r="M48" s="340">
        <v>21501</v>
      </c>
      <c r="N48" s="341">
        <v>0.10245255237940942</v>
      </c>
      <c r="O48" s="340">
        <f>SUM(O8:O44)</f>
        <v>282412</v>
      </c>
      <c r="P48" s="340">
        <f>O48-L48</f>
        <v>51048</v>
      </c>
      <c r="Q48" s="341">
        <f>P48/L48</f>
        <v>0.220639338877267</v>
      </c>
      <c r="R48" s="340">
        <f>SUM(R7:R44)</f>
        <v>333607</v>
      </c>
      <c r="S48" s="340">
        <f t="shared" si="1"/>
        <v>51195</v>
      </c>
      <c r="T48" s="341">
        <f>S48/O48</f>
        <v>0.18127770774612978</v>
      </c>
      <c r="U48" s="340">
        <f>SUM(U7:U44)</f>
        <v>366258</v>
      </c>
      <c r="V48" s="340">
        <f>SUM(V7:V35)</f>
        <v>32651</v>
      </c>
      <c r="W48" s="596">
        <f>V48/R48</f>
        <v>9.7872646557176562E-2</v>
      </c>
      <c r="X48" s="343">
        <f>SUM(X7:X44)</f>
        <v>382069</v>
      </c>
      <c r="Y48" s="340">
        <f>X48-U48</f>
        <v>15811</v>
      </c>
      <c r="Z48" s="597">
        <f>Y48/U48</f>
        <v>4.3169022929191989E-2</v>
      </c>
      <c r="AA48" s="340">
        <f>SUM(AA7:AA44)</f>
        <v>405846</v>
      </c>
      <c r="AB48" s="598">
        <f>AA48-X48</f>
        <v>23777</v>
      </c>
      <c r="AC48" s="599">
        <f>AB48/X48</f>
        <v>6.2232214599980629E-2</v>
      </c>
      <c r="AD48" s="340">
        <f>SUM(AD7:AD39)</f>
        <v>311154</v>
      </c>
      <c r="AE48" s="340">
        <f>SUM(AE7:AE39)</f>
        <v>62775</v>
      </c>
      <c r="AF48" s="340">
        <f>SUM(AF7:AF44)</f>
        <v>349066</v>
      </c>
      <c r="AG48" s="338">
        <f>AF48-AA48</f>
        <v>-56780</v>
      </c>
      <c r="AH48" s="342">
        <f>AG48/AA48</f>
        <v>-0.13990528427038829</v>
      </c>
      <c r="AI48" s="340">
        <f>SUM(AI7:AI39)</f>
        <v>306863</v>
      </c>
      <c r="AJ48" s="340">
        <f>SUM(AJ7:AJ39)</f>
        <v>368305</v>
      </c>
      <c r="AK48" s="340">
        <f>SUM(AK7:AK39)</f>
        <v>321065</v>
      </c>
      <c r="AL48" s="335"/>
      <c r="AM48" s="338">
        <f t="shared" si="22"/>
        <v>321065</v>
      </c>
      <c r="AN48" s="335">
        <f>SUM(AN7:AN39)</f>
        <v>413423</v>
      </c>
      <c r="AO48" s="335">
        <f>SUM(AO7:AO39)</f>
        <v>477608</v>
      </c>
      <c r="AP48" s="348">
        <f>SUM(AP7:AP39)</f>
        <v>34814</v>
      </c>
      <c r="AQ48" s="348">
        <f>SUM(AQ7:AQ39)</f>
        <v>2383</v>
      </c>
      <c r="AR48" s="348">
        <f>SUM(AR7:AR44)</f>
        <v>37197</v>
      </c>
      <c r="AS48" s="338">
        <f>BB48+AR48</f>
        <v>476840.01740999997</v>
      </c>
      <c r="AT48" s="401">
        <f t="shared" si="25"/>
        <v>127774.01740999997</v>
      </c>
      <c r="AU48" s="468">
        <f t="shared" si="26"/>
        <v>0.36604543957303193</v>
      </c>
      <c r="AV48" s="401">
        <f>+AS48-AF48</f>
        <v>127774.01740999997</v>
      </c>
      <c r="AW48" s="468">
        <f>+AV48/AF48</f>
        <v>0.36604543957303193</v>
      </c>
      <c r="AX48" s="340">
        <f>SUM(AX7:AX44)</f>
        <v>343042</v>
      </c>
      <c r="AY48" s="338">
        <f>AX48-AF48</f>
        <v>-6024</v>
      </c>
      <c r="AZ48" s="342">
        <f t="shared" si="28"/>
        <v>-1.7257481393203579E-2</v>
      </c>
      <c r="BA48" s="342"/>
      <c r="BB48" s="401">
        <f>SUM(BB7:BB44)</f>
        <v>439643.01740999997</v>
      </c>
      <c r="BC48" s="342"/>
      <c r="BD48" s="342"/>
      <c r="BE48" s="340">
        <f>SUM(BE7:BE44)</f>
        <v>463087</v>
      </c>
      <c r="BF48" s="338">
        <f>BE48-AX48</f>
        <v>120045</v>
      </c>
      <c r="BG48" s="342">
        <f>BF48/AX48</f>
        <v>0.34994257262959055</v>
      </c>
      <c r="BH48" s="401">
        <f>SUM(BH7:BH44)</f>
        <v>33938</v>
      </c>
      <c r="BI48" s="401"/>
      <c r="BJ48" s="401"/>
      <c r="BK48" s="401">
        <f>SUM(BK7:BK44)</f>
        <v>1047</v>
      </c>
      <c r="BL48" s="352">
        <f t="shared" si="31"/>
        <v>498072</v>
      </c>
      <c r="BM48" s="352">
        <f>BL48-AS48</f>
        <v>21231.982590000029</v>
      </c>
      <c r="BN48" s="352">
        <f>SUM(BN7:BN44)</f>
        <v>542054</v>
      </c>
      <c r="BO48" s="352">
        <f>SUM(BO7:BO44)</f>
        <v>541227</v>
      </c>
      <c r="BP48" s="352">
        <f t="shared" si="33"/>
        <v>78140</v>
      </c>
      <c r="BQ48" s="339">
        <f>BM48/AS48</f>
        <v>4.4526427763599788E-2</v>
      </c>
      <c r="BR48" s="468">
        <f t="shared" si="34"/>
        <v>0.16873719193153769</v>
      </c>
      <c r="BS48" s="349">
        <f>SUM(BS7:BS44)</f>
        <v>47905.705000000002</v>
      </c>
      <c r="BT48" s="335"/>
      <c r="BU48" s="335"/>
      <c r="BV48" s="349">
        <f>SUM(BV7:BV44)</f>
        <v>2251.38</v>
      </c>
      <c r="BW48" s="345">
        <f t="shared" si="48"/>
        <v>592211.08499999996</v>
      </c>
      <c r="BX48" s="352">
        <f>SUM(BX7:BX44)</f>
        <v>547642</v>
      </c>
      <c r="BY48" s="352"/>
      <c r="BZ48" s="352">
        <f>SUM(BZ7:BZ44)</f>
        <v>517537</v>
      </c>
      <c r="CA48" s="352">
        <f t="shared" si="40"/>
        <v>54450</v>
      </c>
      <c r="CB48" s="339">
        <f t="shared" si="41"/>
        <v>0.11758049783302058</v>
      </c>
      <c r="CC48" s="352">
        <f>SUM(CC7:CC44)</f>
        <v>601157</v>
      </c>
      <c r="CD48" s="352">
        <f>SUM(CD7:CD44)</f>
        <v>598329</v>
      </c>
      <c r="CE48" s="352">
        <f>SUM(CE7:CE44)</f>
        <v>2200</v>
      </c>
      <c r="CF48" s="600">
        <f>CD48+CE48</f>
        <v>600529</v>
      </c>
      <c r="CG48" s="600">
        <f>CF48-BZ48</f>
        <v>82992</v>
      </c>
      <c r="CH48" s="601">
        <f t="shared" si="36"/>
        <v>0.1603595491723297</v>
      </c>
      <c r="CI48" s="353">
        <f>SUM(CI7:CI46)</f>
        <v>683592</v>
      </c>
      <c r="CJ48" s="353"/>
      <c r="CK48" s="353">
        <f>SUM(CK7:CK46)</f>
        <v>677092</v>
      </c>
      <c r="CL48" s="368">
        <f t="shared" si="37"/>
        <v>76563</v>
      </c>
      <c r="CM48" s="602">
        <f t="shared" si="54"/>
        <v>0.12749259402959723</v>
      </c>
      <c r="CN48" s="353">
        <f>SUM(CN7:CN46)</f>
        <v>716366</v>
      </c>
      <c r="CO48" s="368">
        <f t="shared" si="38"/>
        <v>39274</v>
      </c>
      <c r="CP48" s="406">
        <f t="shared" si="39"/>
        <v>5.8003934472715672E-2</v>
      </c>
    </row>
    <row r="49" spans="1:95" s="144" customFormat="1" ht="18" customHeight="1" x14ac:dyDescent="0.25">
      <c r="A49" s="335"/>
      <c r="E49" s="603"/>
      <c r="H49" s="603"/>
      <c r="K49" s="603"/>
      <c r="L49" s="354"/>
      <c r="M49" s="354"/>
      <c r="N49" s="355"/>
      <c r="O49" s="354"/>
      <c r="P49" s="354"/>
      <c r="Q49" s="355"/>
      <c r="R49" s="354"/>
      <c r="S49" s="354"/>
      <c r="T49" s="355"/>
      <c r="U49" s="354"/>
      <c r="V49" s="354"/>
      <c r="W49" s="604"/>
      <c r="X49" s="357"/>
      <c r="Y49" s="354"/>
      <c r="Z49" s="605"/>
      <c r="AA49" s="354"/>
      <c r="AB49" s="606"/>
      <c r="AC49" s="607"/>
      <c r="AD49" s="354"/>
      <c r="AE49" s="354"/>
      <c r="AF49" s="354"/>
      <c r="AG49" s="204"/>
      <c r="AH49" s="304"/>
      <c r="AI49" s="354"/>
      <c r="AJ49" s="354"/>
      <c r="AK49" s="354"/>
      <c r="AM49" s="204"/>
      <c r="AT49" s="200"/>
      <c r="AU49" s="205"/>
      <c r="AV49" s="200"/>
      <c r="AW49" s="205"/>
      <c r="AX49" s="354"/>
      <c r="AY49" s="204"/>
      <c r="AZ49" s="304"/>
      <c r="BA49" s="304"/>
      <c r="BB49" s="304"/>
      <c r="BC49" s="304"/>
      <c r="BD49" s="304"/>
      <c r="BE49" s="354"/>
      <c r="BF49" s="204"/>
      <c r="BG49" s="304"/>
      <c r="BH49" s="200"/>
      <c r="BI49" s="200"/>
      <c r="BJ49" s="200"/>
      <c r="BK49" s="200"/>
      <c r="BL49" s="206"/>
      <c r="BM49" s="206"/>
      <c r="BN49" s="206"/>
      <c r="BO49" s="206"/>
      <c r="BP49" s="206">
        <f t="shared" si="33"/>
        <v>0</v>
      </c>
      <c r="BQ49" s="199"/>
      <c r="BR49" s="205" t="e">
        <f t="shared" si="34"/>
        <v>#DIV/0!</v>
      </c>
      <c r="BS49" s="353"/>
      <c r="BW49" s="207">
        <f t="shared" si="48"/>
        <v>0</v>
      </c>
      <c r="BX49" s="206"/>
      <c r="BY49" s="206"/>
      <c r="BZ49" s="206"/>
      <c r="CA49" s="206"/>
      <c r="CB49" s="199"/>
      <c r="CC49" s="353"/>
      <c r="CD49" s="353"/>
      <c r="CE49" s="353"/>
      <c r="CF49" s="353"/>
      <c r="CG49" s="206"/>
      <c r="CH49" s="355"/>
      <c r="CL49" s="206"/>
      <c r="CM49" s="355"/>
      <c r="CO49" s="206"/>
      <c r="CP49" s="199"/>
    </row>
    <row r="50" spans="1:95" s="144" customFormat="1" ht="18" customHeight="1" x14ac:dyDescent="0.25">
      <c r="E50" s="603"/>
      <c r="H50" s="603"/>
      <c r="K50" s="603"/>
      <c r="L50" s="354"/>
      <c r="M50" s="354"/>
      <c r="N50" s="355"/>
      <c r="O50" s="354"/>
      <c r="P50" s="354"/>
      <c r="Q50" s="355"/>
      <c r="R50" s="354"/>
      <c r="S50" s="354"/>
      <c r="T50" s="355"/>
      <c r="U50" s="354"/>
      <c r="V50" s="354"/>
      <c r="W50" s="604"/>
      <c r="X50" s="357"/>
      <c r="Y50" s="354"/>
      <c r="Z50" s="605"/>
      <c r="AA50" s="354"/>
      <c r="AB50" s="606"/>
      <c r="AC50" s="607"/>
      <c r="AD50" s="354"/>
      <c r="AE50" s="354"/>
      <c r="AF50" s="354"/>
      <c r="AG50" s="204"/>
      <c r="AH50" s="304"/>
      <c r="AI50" s="354"/>
      <c r="AJ50" s="354"/>
      <c r="AK50" s="354"/>
      <c r="AM50" s="204"/>
      <c r="AT50" s="200"/>
      <c r="AU50" s="205"/>
      <c r="AV50" s="200">
        <f>AS50-AF48</f>
        <v>-349066</v>
      </c>
      <c r="AW50" s="205">
        <f>AV50/AF48</f>
        <v>-1</v>
      </c>
      <c r="AX50" s="354"/>
      <c r="AY50" s="204"/>
      <c r="AZ50" s="304"/>
      <c r="BA50" s="304"/>
      <c r="BB50" s="304"/>
      <c r="BC50" s="304"/>
      <c r="BD50" s="304"/>
      <c r="BE50" s="354"/>
      <c r="BF50" s="207"/>
      <c r="BG50" s="304"/>
      <c r="BH50" s="200"/>
      <c r="BI50" s="200"/>
      <c r="BJ50" s="200"/>
      <c r="BK50" s="200"/>
      <c r="BL50" s="206"/>
      <c r="BM50" s="206"/>
      <c r="BN50" s="206"/>
      <c r="BO50" s="206"/>
      <c r="BP50" s="206">
        <f t="shared" si="33"/>
        <v>0</v>
      </c>
      <c r="BQ50" s="199"/>
      <c r="BR50" s="205" t="e">
        <f t="shared" si="34"/>
        <v>#DIV/0!</v>
      </c>
      <c r="BS50" s="353"/>
      <c r="BW50" s="207">
        <f t="shared" si="48"/>
        <v>0</v>
      </c>
      <c r="BX50" s="206"/>
      <c r="BY50" s="206"/>
      <c r="BZ50" s="206"/>
      <c r="CA50" s="206"/>
      <c r="CB50" s="199"/>
      <c r="CC50" s="353"/>
      <c r="CD50" s="353"/>
      <c r="CE50" s="353"/>
      <c r="CF50" s="353"/>
      <c r="CG50" s="206"/>
      <c r="CH50" s="355"/>
      <c r="CL50" s="206"/>
      <c r="CM50" s="355"/>
      <c r="CO50" s="206"/>
      <c r="CP50" s="199"/>
    </row>
    <row r="51" spans="1:95" s="65" customFormat="1" ht="18" customHeight="1" x14ac:dyDescent="0.25">
      <c r="A51" s="373" t="s">
        <v>167</v>
      </c>
      <c r="E51" s="406"/>
      <c r="H51" s="406"/>
      <c r="K51" s="406"/>
      <c r="L51" s="358"/>
      <c r="M51" s="358"/>
      <c r="N51" s="356"/>
      <c r="O51" s="358"/>
      <c r="P51" s="358"/>
      <c r="Q51" s="356"/>
      <c r="R51" s="358"/>
      <c r="S51" s="358"/>
      <c r="T51" s="356"/>
      <c r="U51" s="358"/>
      <c r="V51" s="358"/>
      <c r="W51" s="358"/>
      <c r="X51" s="364"/>
      <c r="Y51" s="358"/>
      <c r="Z51" s="605"/>
      <c r="AA51" s="354"/>
      <c r="AB51" s="366"/>
      <c r="AC51" s="367"/>
      <c r="AF51" s="358"/>
      <c r="AG51" s="358"/>
      <c r="AX51" s="358"/>
      <c r="AY51" s="204"/>
      <c r="AZ51" s="304"/>
      <c r="BA51" s="304"/>
      <c r="BB51" s="304"/>
      <c r="BC51" s="304"/>
      <c r="BD51" s="304"/>
      <c r="BE51" s="358"/>
      <c r="BF51" s="204"/>
      <c r="BG51" s="304"/>
      <c r="BH51" s="200"/>
      <c r="BI51" s="200"/>
      <c r="BJ51" s="200"/>
      <c r="BK51" s="200"/>
      <c r="BL51" s="206"/>
      <c r="BM51" s="206"/>
      <c r="BN51" s="206"/>
      <c r="BO51" s="206"/>
      <c r="BP51" s="206">
        <f t="shared" si="33"/>
        <v>0</v>
      </c>
      <c r="BQ51" s="199"/>
      <c r="BR51" s="205" t="e">
        <f t="shared" si="34"/>
        <v>#DIV/0!</v>
      </c>
      <c r="BS51" s="368"/>
      <c r="BW51" s="207">
        <f t="shared" si="48"/>
        <v>0</v>
      </c>
      <c r="BX51" s="206"/>
      <c r="BY51" s="206"/>
      <c r="BZ51" s="206"/>
      <c r="CA51" s="206"/>
      <c r="CB51" s="199"/>
      <c r="CC51" s="368"/>
      <c r="CD51" s="368"/>
      <c r="CE51" s="368"/>
      <c r="CF51" s="368"/>
      <c r="CG51" s="206"/>
      <c r="CH51" s="356"/>
      <c r="CL51" s="206"/>
      <c r="CM51" s="356"/>
      <c r="CO51" s="206"/>
      <c r="CP51" s="199"/>
    </row>
    <row r="52" spans="1:95" s="65" customFormat="1" ht="18" customHeight="1" x14ac:dyDescent="0.25">
      <c r="A52" s="578" t="s">
        <v>168</v>
      </c>
      <c r="E52" s="406"/>
      <c r="H52" s="406"/>
      <c r="K52" s="406"/>
      <c r="L52" s="358"/>
      <c r="M52" s="358"/>
      <c r="N52" s="356"/>
      <c r="O52" s="358"/>
      <c r="P52" s="358"/>
      <c r="Q52" s="356"/>
      <c r="R52" s="358"/>
      <c r="S52" s="358"/>
      <c r="T52" s="356"/>
      <c r="U52" s="358"/>
      <c r="V52" s="358"/>
      <c r="W52" s="358"/>
      <c r="X52" s="364"/>
      <c r="Y52" s="358"/>
      <c r="Z52" s="605"/>
      <c r="AA52" s="354"/>
      <c r="AB52" s="366"/>
      <c r="AC52" s="367"/>
      <c r="AF52" s="358"/>
      <c r="AG52" s="358"/>
      <c r="AX52" s="358"/>
      <c r="AY52" s="204"/>
      <c r="AZ52" s="304"/>
      <c r="BA52" s="304"/>
      <c r="BB52" s="304"/>
      <c r="BC52" s="304"/>
      <c r="BD52" s="304"/>
      <c r="BE52" s="358"/>
      <c r="BF52" s="204"/>
      <c r="BG52" s="304"/>
      <c r="BH52" s="200"/>
      <c r="BI52" s="200"/>
      <c r="BJ52" s="200"/>
      <c r="BK52" s="200"/>
      <c r="BL52" s="206"/>
      <c r="BM52" s="206"/>
      <c r="BN52" s="206"/>
      <c r="BO52" s="206"/>
      <c r="BP52" s="206">
        <f t="shared" si="33"/>
        <v>0</v>
      </c>
      <c r="BQ52" s="199"/>
      <c r="BR52" s="205" t="e">
        <f t="shared" si="34"/>
        <v>#DIV/0!</v>
      </c>
      <c r="BS52" s="368"/>
      <c r="BW52" s="207">
        <f t="shared" si="48"/>
        <v>0</v>
      </c>
      <c r="BX52" s="206"/>
      <c r="BY52" s="206"/>
      <c r="BZ52" s="206"/>
      <c r="CA52" s="206"/>
      <c r="CB52" s="199"/>
      <c r="CC52" s="368"/>
      <c r="CD52" s="368"/>
      <c r="CE52" s="368"/>
      <c r="CF52" s="368"/>
      <c r="CG52" s="206"/>
      <c r="CH52" s="356"/>
      <c r="CL52" s="206"/>
      <c r="CM52" s="356"/>
      <c r="CO52" s="206"/>
      <c r="CP52" s="199"/>
    </row>
    <row r="53" spans="1:95" s="65" customFormat="1" ht="18" customHeight="1" x14ac:dyDescent="0.25">
      <c r="A53" s="373" t="s">
        <v>169</v>
      </c>
      <c r="E53" s="406"/>
      <c r="H53" s="406"/>
      <c r="K53" s="406"/>
      <c r="L53" s="358"/>
      <c r="M53" s="358"/>
      <c r="N53" s="356"/>
      <c r="O53" s="358"/>
      <c r="P53" s="358"/>
      <c r="Q53" s="356"/>
      <c r="R53" s="358"/>
      <c r="S53" s="358"/>
      <c r="T53" s="356"/>
      <c r="U53" s="358"/>
      <c r="V53" s="358"/>
      <c r="W53" s="358"/>
      <c r="X53" s="364"/>
      <c r="Y53" s="358"/>
      <c r="Z53" s="605"/>
      <c r="AA53" s="354"/>
      <c r="AB53" s="366"/>
      <c r="AC53" s="367"/>
      <c r="AF53" s="358"/>
      <c r="AG53" s="358"/>
      <c r="AX53" s="358"/>
      <c r="AY53" s="204"/>
      <c r="AZ53" s="304"/>
      <c r="BA53" s="304"/>
      <c r="BB53" s="304"/>
      <c r="BC53" s="304"/>
      <c r="BD53" s="304"/>
      <c r="BE53" s="358"/>
      <c r="BF53" s="204"/>
      <c r="BG53" s="304"/>
      <c r="BH53" s="200"/>
      <c r="BI53" s="200"/>
      <c r="BJ53" s="200"/>
      <c r="BK53" s="200"/>
      <c r="BL53" s="206"/>
      <c r="BM53" s="206"/>
      <c r="BN53" s="206"/>
      <c r="BO53" s="206"/>
      <c r="BP53" s="206">
        <f t="shared" si="33"/>
        <v>0</v>
      </c>
      <c r="BQ53" s="199"/>
      <c r="BR53" s="205" t="e">
        <f t="shared" si="34"/>
        <v>#DIV/0!</v>
      </c>
      <c r="BS53" s="368"/>
      <c r="BW53" s="207">
        <f t="shared" si="48"/>
        <v>0</v>
      </c>
      <c r="BX53" s="206"/>
      <c r="BY53" s="206"/>
      <c r="BZ53" s="206"/>
      <c r="CA53" s="206"/>
      <c r="CB53" s="199"/>
      <c r="CC53" s="368"/>
      <c r="CD53" s="368"/>
      <c r="CE53" s="368"/>
      <c r="CF53" s="368"/>
      <c r="CG53" s="206"/>
      <c r="CH53" s="356"/>
      <c r="CL53" s="206"/>
      <c r="CM53" s="356"/>
      <c r="CO53" s="206"/>
      <c r="CP53" s="199"/>
    </row>
    <row r="54" spans="1:95" s="65" customFormat="1" ht="18" customHeight="1" x14ac:dyDescent="0.25">
      <c r="A54" s="373" t="s">
        <v>170</v>
      </c>
      <c r="E54" s="406"/>
      <c r="H54" s="406"/>
      <c r="K54" s="406"/>
      <c r="L54" s="358"/>
      <c r="M54" s="358"/>
      <c r="N54" s="356"/>
      <c r="O54" s="358"/>
      <c r="P54" s="358"/>
      <c r="Q54" s="356"/>
      <c r="R54" s="358"/>
      <c r="S54" s="358"/>
      <c r="T54" s="356"/>
      <c r="U54" s="358"/>
      <c r="V54" s="358"/>
      <c r="W54" s="358"/>
      <c r="X54" s="364"/>
      <c r="Y54" s="358"/>
      <c r="Z54" s="605"/>
      <c r="AA54" s="354"/>
      <c r="AB54" s="366"/>
      <c r="AC54" s="367"/>
      <c r="AF54" s="358"/>
      <c r="AG54" s="358"/>
      <c r="AI54" s="65">
        <f>354535-67904-37678-101696</f>
        <v>147257</v>
      </c>
      <c r="AX54" s="358"/>
      <c r="AY54" s="204"/>
      <c r="AZ54" s="304"/>
      <c r="BA54" s="304"/>
      <c r="BB54" s="304"/>
      <c r="BC54" s="304"/>
      <c r="BD54" s="304"/>
      <c r="BE54" s="358"/>
      <c r="BF54" s="204"/>
      <c r="BG54" s="304"/>
      <c r="BH54" s="200"/>
      <c r="BI54" s="200"/>
      <c r="BJ54" s="200"/>
      <c r="BK54" s="200"/>
      <c r="BL54" s="206"/>
      <c r="BM54" s="206"/>
      <c r="BN54" s="206"/>
      <c r="BO54" s="206"/>
      <c r="BP54" s="206">
        <f t="shared" si="33"/>
        <v>0</v>
      </c>
      <c r="BQ54" s="199"/>
      <c r="BR54" s="205" t="e">
        <f t="shared" si="34"/>
        <v>#DIV/0!</v>
      </c>
      <c r="BS54" s="368"/>
      <c r="BW54" s="207">
        <f t="shared" si="48"/>
        <v>0</v>
      </c>
      <c r="BX54" s="206"/>
      <c r="BY54" s="206"/>
      <c r="BZ54" s="206"/>
      <c r="CA54" s="206"/>
      <c r="CB54" s="199"/>
      <c r="CC54" s="368"/>
      <c r="CD54" s="368"/>
      <c r="CE54" s="368"/>
      <c r="CF54" s="368"/>
      <c r="CG54" s="206"/>
      <c r="CH54" s="356"/>
      <c r="CL54" s="206"/>
      <c r="CM54" s="356"/>
      <c r="CO54" s="206"/>
      <c r="CP54" s="199"/>
    </row>
    <row r="55" spans="1:95" ht="18" customHeight="1" x14ac:dyDescent="0.25">
      <c r="A55" s="373" t="s">
        <v>171</v>
      </c>
      <c r="N55" s="304"/>
      <c r="Q55" s="304"/>
      <c r="R55" s="358"/>
      <c r="S55" s="204"/>
      <c r="T55" s="304"/>
      <c r="U55" s="204"/>
      <c r="V55" s="204"/>
      <c r="W55" s="304"/>
      <c r="AB55" s="374"/>
      <c r="AI55" s="66">
        <f>+AI54+5268443</f>
        <v>5415700</v>
      </c>
      <c r="AR55" s="65"/>
      <c r="AS55" s="65"/>
      <c r="AU55" s="65"/>
      <c r="BH55" s="200"/>
      <c r="BI55" s="200"/>
      <c r="BJ55" s="200"/>
      <c r="BK55" s="200"/>
      <c r="BL55" s="206"/>
      <c r="BM55" s="206"/>
      <c r="BN55" s="206"/>
      <c r="BO55" s="206"/>
      <c r="BP55" s="206">
        <f t="shared" si="33"/>
        <v>0</v>
      </c>
      <c r="BQ55" s="199"/>
      <c r="BR55" s="205" t="e">
        <f t="shared" si="34"/>
        <v>#DIV/0!</v>
      </c>
      <c r="BW55" s="207">
        <f t="shared" si="48"/>
        <v>0</v>
      </c>
      <c r="BX55" s="206"/>
      <c r="BY55" s="206"/>
      <c r="BZ55" s="206"/>
      <c r="CA55" s="206"/>
      <c r="CB55" s="199"/>
      <c r="CC55" s="206"/>
      <c r="CD55" s="206"/>
      <c r="CE55" s="206"/>
      <c r="CF55" s="206"/>
      <c r="CG55" s="206"/>
      <c r="CH55" s="304"/>
      <c r="CL55" s="206"/>
      <c r="CM55" s="304"/>
      <c r="CO55" s="206"/>
      <c r="CP55" s="199"/>
    </row>
    <row r="56" spans="1:95" ht="18" customHeight="1" x14ac:dyDescent="0.25">
      <c r="A56" s="373" t="s">
        <v>172</v>
      </c>
      <c r="N56" s="304"/>
      <c r="Q56" s="304"/>
      <c r="R56" s="358"/>
      <c r="S56" s="204"/>
      <c r="T56" s="304"/>
      <c r="U56" s="204"/>
      <c r="V56" s="204"/>
      <c r="W56" s="304"/>
      <c r="AB56" s="374"/>
      <c r="AT56" s="204"/>
      <c r="AU56" s="205"/>
      <c r="AV56" s="204"/>
      <c r="AW56" s="205"/>
      <c r="BH56" s="200"/>
      <c r="BI56" s="200"/>
      <c r="BJ56" s="200"/>
      <c r="BK56" s="200"/>
      <c r="BL56" s="206"/>
      <c r="BM56" s="206"/>
      <c r="BN56" s="206"/>
      <c r="BO56" s="206"/>
      <c r="BP56" s="206">
        <f t="shared" si="33"/>
        <v>0</v>
      </c>
      <c r="BQ56" s="199"/>
      <c r="BR56" s="205" t="e">
        <f t="shared" si="34"/>
        <v>#DIV/0!</v>
      </c>
      <c r="BW56" s="207">
        <f t="shared" si="48"/>
        <v>0</v>
      </c>
      <c r="BX56" s="206"/>
      <c r="BY56" s="206"/>
      <c r="BZ56" s="206"/>
      <c r="CA56" s="206"/>
      <c r="CB56" s="199"/>
      <c r="CC56" s="206"/>
      <c r="CD56" s="206"/>
      <c r="CE56" s="206"/>
      <c r="CF56" s="206"/>
      <c r="CG56" s="206"/>
      <c r="CH56" s="304"/>
      <c r="CL56" s="206"/>
      <c r="CM56" s="304"/>
      <c r="CO56" s="206"/>
      <c r="CP56" s="199"/>
    </row>
    <row r="57" spans="1:95" ht="18" customHeight="1" x14ac:dyDescent="0.25">
      <c r="A57" s="373" t="s">
        <v>173</v>
      </c>
      <c r="N57" s="304"/>
      <c r="Q57" s="304"/>
      <c r="R57" s="358"/>
      <c r="S57" s="204"/>
      <c r="T57" s="304"/>
      <c r="U57" s="204"/>
      <c r="V57" s="204"/>
      <c r="W57" s="304"/>
      <c r="AB57" s="374"/>
      <c r="AT57" s="204"/>
      <c r="AU57" s="205"/>
      <c r="AV57" s="204"/>
      <c r="AW57" s="205"/>
      <c r="BH57" s="200"/>
      <c r="BI57" s="200"/>
      <c r="BJ57" s="200"/>
      <c r="BK57" s="200"/>
      <c r="BL57" s="206"/>
      <c r="BM57" s="206"/>
      <c r="BN57" s="206"/>
      <c r="BO57" s="206"/>
      <c r="BP57" s="206"/>
      <c r="BQ57" s="199"/>
      <c r="BR57" s="205"/>
      <c r="BW57" s="207"/>
      <c r="BX57" s="206"/>
      <c r="BY57" s="206"/>
      <c r="BZ57" s="206"/>
      <c r="CA57" s="206"/>
      <c r="CB57" s="199"/>
      <c r="CC57" s="206"/>
      <c r="CD57" s="206"/>
      <c r="CE57" s="206"/>
      <c r="CF57" s="206"/>
      <c r="CG57" s="206"/>
      <c r="CH57" s="304"/>
      <c r="CL57" s="206"/>
      <c r="CM57" s="304"/>
      <c r="CO57" s="206"/>
      <c r="CP57" s="199"/>
    </row>
    <row r="58" spans="1:95" s="729" customFormat="1" ht="18" customHeight="1" x14ac:dyDescent="0.25">
      <c r="A58" s="728" t="s">
        <v>60</v>
      </c>
      <c r="E58" s="730"/>
      <c r="H58" s="730"/>
      <c r="K58" s="730"/>
      <c r="L58" s="731"/>
      <c r="M58" s="731"/>
      <c r="N58" s="732"/>
      <c r="O58" s="731"/>
      <c r="P58" s="731"/>
      <c r="Q58" s="732"/>
      <c r="T58" s="733"/>
      <c r="W58" s="733"/>
      <c r="X58" s="734"/>
      <c r="Y58" s="735"/>
      <c r="Z58" s="736"/>
      <c r="AA58" s="737"/>
      <c r="AB58" s="738"/>
      <c r="AC58" s="739"/>
      <c r="AF58" s="740"/>
      <c r="AG58" s="740"/>
      <c r="AX58" s="740"/>
      <c r="AY58" s="737"/>
      <c r="AZ58" s="741"/>
      <c r="BA58" s="741"/>
      <c r="BB58" s="741"/>
      <c r="BC58" s="741"/>
      <c r="BD58" s="741"/>
      <c r="BE58" s="740"/>
      <c r="BF58" s="737"/>
      <c r="BG58" s="741"/>
      <c r="BH58" s="742"/>
      <c r="BI58" s="742"/>
      <c r="BJ58" s="742"/>
      <c r="BK58" s="742"/>
      <c r="BL58" s="743"/>
      <c r="BM58" s="743"/>
      <c r="BN58" s="743"/>
      <c r="BO58" s="743"/>
      <c r="BP58" s="743">
        <f t="shared" si="33"/>
        <v>0</v>
      </c>
      <c r="BQ58" s="744"/>
      <c r="BR58" s="745" t="e">
        <f t="shared" si="34"/>
        <v>#DIV/0!</v>
      </c>
      <c r="BS58" s="746"/>
      <c r="BW58" s="747"/>
      <c r="BX58" s="743"/>
      <c r="BY58" s="743"/>
      <c r="BZ58" s="743"/>
      <c r="CA58" s="743"/>
      <c r="CB58" s="744"/>
      <c r="CC58" s="746"/>
      <c r="CD58" s="746"/>
      <c r="CE58" s="746"/>
      <c r="CF58" s="746"/>
      <c r="CG58" s="743"/>
      <c r="CH58" s="733"/>
      <c r="CL58" s="743"/>
      <c r="CM58" s="733"/>
    </row>
    <row r="59" spans="1:95" s="148" customFormat="1" ht="18" customHeight="1" x14ac:dyDescent="0.25">
      <c r="A59" s="312" t="s">
        <v>174</v>
      </c>
      <c r="B59" s="416">
        <f>6762+8384</f>
        <v>15146</v>
      </c>
      <c r="C59" s="416">
        <f>11033+10023</f>
        <v>21056</v>
      </c>
      <c r="D59" s="416">
        <f>C59-B59</f>
        <v>5910</v>
      </c>
      <c r="E59" s="563">
        <f>(C59-B59)/B59</f>
        <v>0.39020203354020866</v>
      </c>
      <c r="F59" s="203">
        <f>20141</f>
        <v>20141</v>
      </c>
      <c r="G59" s="203">
        <f>F59-C59</f>
        <v>-915</v>
      </c>
      <c r="H59" s="362">
        <f>(F59-C59)/C59</f>
        <v>-4.3455547112462009E-2</v>
      </c>
      <c r="I59" s="203">
        <f>3546+18470</f>
        <v>22016</v>
      </c>
      <c r="J59" s="203">
        <f>I59-F59</f>
        <v>1875</v>
      </c>
      <c r="K59" s="362">
        <f>(I59-F59)/F59</f>
        <v>9.3093689489101836E-2</v>
      </c>
      <c r="L59" s="203">
        <v>31696</v>
      </c>
      <c r="M59" s="203">
        <v>9680</v>
      </c>
      <c r="N59" s="397">
        <v>0.43968023255813954</v>
      </c>
      <c r="O59" s="203">
        <v>30358</v>
      </c>
      <c r="P59" s="203">
        <f>O59-L59</f>
        <v>-1338</v>
      </c>
      <c r="Q59" s="397">
        <f t="shared" ref="Q59:Q82" si="55">P59/L59</f>
        <v>-4.2213528520949013E-2</v>
      </c>
      <c r="R59" s="203">
        <f>35288+8000</f>
        <v>43288</v>
      </c>
      <c r="S59" s="203">
        <f t="shared" ref="S59:S82" si="56">R59-O59</f>
        <v>12930</v>
      </c>
      <c r="T59" s="397">
        <f t="shared" ref="T59:T82" si="57">S59/O59</f>
        <v>0.42591738586204625</v>
      </c>
      <c r="U59" s="203">
        <f>71168-30146+5000</f>
        <v>46022</v>
      </c>
      <c r="V59" s="203">
        <f>U59-R59</f>
        <v>2734</v>
      </c>
      <c r="W59" s="397">
        <f>V59/R59</f>
        <v>6.3158381075586773E-2</v>
      </c>
      <c r="X59" s="201">
        <f>99480-23279-12228</f>
        <v>63973</v>
      </c>
      <c r="Y59" s="203">
        <f t="shared" ref="Y59:Y66" si="58">X59-U59</f>
        <v>17951</v>
      </c>
      <c r="Z59" s="484">
        <f t="shared" ref="Z59:Z66" si="59">Y59/U59</f>
        <v>0.39005258354699929</v>
      </c>
      <c r="AA59" s="203">
        <f>79664-24739</f>
        <v>54925</v>
      </c>
      <c r="AB59" s="564">
        <f t="shared" ref="AB59:AB66" si="60">AA59-X59</f>
        <v>-9048</v>
      </c>
      <c r="AC59" s="485">
        <f t="shared" ref="AC59:AC66" si="61">AB59/X59</f>
        <v>-0.14143466775045721</v>
      </c>
      <c r="AD59" s="418">
        <v>4020</v>
      </c>
      <c r="AE59" s="418">
        <f>21164+8226</f>
        <v>29390</v>
      </c>
      <c r="AF59" s="203">
        <v>27673</v>
      </c>
      <c r="AG59" s="203">
        <f t="shared" ref="AG59:AG81" si="62">AF59-AA59</f>
        <v>-27252</v>
      </c>
      <c r="AH59" s="397">
        <f t="shared" ref="AH59:AH81" si="63">AG59/AA59</f>
        <v>-0.49616750113791536</v>
      </c>
      <c r="AI59" s="418">
        <f>AF59-137</f>
        <v>27536</v>
      </c>
      <c r="AJ59" s="418">
        <f>AF59-779</f>
        <v>26894</v>
      </c>
      <c r="AK59" s="418">
        <v>3040</v>
      </c>
      <c r="AL59" s="148">
        <v>680</v>
      </c>
      <c r="AM59" s="203">
        <f t="shared" ref="AM59:AM81" si="64">+AL59+AK59</f>
        <v>3720</v>
      </c>
      <c r="AN59" s="148">
        <v>2403</v>
      </c>
      <c r="AO59" s="148">
        <v>17074</v>
      </c>
      <c r="AP59" s="309">
        <v>611</v>
      </c>
      <c r="AQ59" s="309">
        <v>601</v>
      </c>
      <c r="AR59" s="309">
        <f>AP59+AQ59</f>
        <v>1212</v>
      </c>
      <c r="AS59" s="203">
        <f>BB59+AR59</f>
        <v>16868.30013</v>
      </c>
      <c r="AT59" s="418">
        <f>AS59-AF59</f>
        <v>-10804.69987</v>
      </c>
      <c r="AU59" s="362">
        <f>AT59/AF59</f>
        <v>-0.3904419423264554</v>
      </c>
      <c r="AV59" s="418">
        <f t="shared" ref="AV59:AV82" si="65">+AS59-AF59</f>
        <v>-10804.69987</v>
      </c>
      <c r="AW59" s="362">
        <f t="shared" ref="AW59:AW82" si="66">+AV59/AF59</f>
        <v>-0.3904419423264554</v>
      </c>
      <c r="AX59" s="203">
        <v>15457</v>
      </c>
      <c r="AY59" s="203">
        <f t="shared" si="27"/>
        <v>-12216</v>
      </c>
      <c r="AZ59" s="397">
        <f t="shared" si="28"/>
        <v>-0.44144111588913382</v>
      </c>
      <c r="BA59" s="560">
        <f>2361.10689+8078.21484+8083.25177</f>
        <v>18522.573499999999</v>
      </c>
      <c r="BB59" s="560">
        <f>2157.6385+5500.39728+7998.26435</f>
        <v>15656.30013</v>
      </c>
      <c r="BC59" s="560">
        <f>BA59-BB59</f>
        <v>2866.273369999999</v>
      </c>
      <c r="BD59" s="304">
        <f>BC59/BA59</f>
        <v>0.15474487764888606</v>
      </c>
      <c r="BE59" s="203">
        <v>15789</v>
      </c>
      <c r="BF59" s="203">
        <f t="shared" ref="BF59:BF82" si="67">BE59-AX59</f>
        <v>332</v>
      </c>
      <c r="BG59" s="397">
        <f t="shared" ref="BG59:BG82" si="68">BF59/AX59</f>
        <v>2.1478941579866725E-2</v>
      </c>
      <c r="BH59" s="418">
        <v>299</v>
      </c>
      <c r="BI59" s="418"/>
      <c r="BJ59" s="418"/>
      <c r="BK59" s="418">
        <v>48</v>
      </c>
      <c r="BL59" s="309">
        <f t="shared" si="31"/>
        <v>16136</v>
      </c>
      <c r="BM59" s="309">
        <f t="shared" ref="BM59:BM82" si="69">BL59-AS59</f>
        <v>-732.30012999999963</v>
      </c>
      <c r="BN59" s="309">
        <v>19527</v>
      </c>
      <c r="BO59" s="309">
        <v>29184</v>
      </c>
      <c r="BP59" s="206">
        <f t="shared" si="33"/>
        <v>13395</v>
      </c>
      <c r="BQ59" s="362">
        <f t="shared" ref="BQ59:BQ82" si="70">BM59/AS59</f>
        <v>-4.341279941406874E-2</v>
      </c>
      <c r="BR59" s="205">
        <f t="shared" si="34"/>
        <v>0.84837545126353786</v>
      </c>
      <c r="BS59" s="309">
        <v>4108</v>
      </c>
      <c r="BV59" s="309">
        <v>0</v>
      </c>
      <c r="BW59" s="206">
        <f t="shared" ref="BW59:BW91" si="71">BN59+BS59+BT59+BU59+BV59</f>
        <v>23635</v>
      </c>
      <c r="BX59" s="206">
        <v>29184</v>
      </c>
      <c r="BY59" s="206">
        <v>100</v>
      </c>
      <c r="BZ59" s="206">
        <v>19561</v>
      </c>
      <c r="CA59" s="206">
        <f t="shared" si="40"/>
        <v>3772</v>
      </c>
      <c r="CB59" s="199">
        <f t="shared" ref="CB59:CB82" si="72">CA59/BE59</f>
        <v>0.23890050034834379</v>
      </c>
      <c r="CC59" s="309">
        <v>34231</v>
      </c>
      <c r="CD59" s="309">
        <v>36102</v>
      </c>
      <c r="CE59" s="309"/>
      <c r="CF59" s="206">
        <v>35490</v>
      </c>
      <c r="CG59" s="206">
        <f t="shared" ref="CG59:CG82" si="73">CF59-BZ59</f>
        <v>15929</v>
      </c>
      <c r="CH59" s="304">
        <f t="shared" ref="CH59:CH82" si="74">CG59/BZ59</f>
        <v>0.81432442104186897</v>
      </c>
      <c r="CI59" s="309">
        <v>41137</v>
      </c>
      <c r="CJ59" s="309"/>
      <c r="CK59" s="309">
        <f t="shared" ref="CK59:CK82" si="75">CJ59+CI59</f>
        <v>41137</v>
      </c>
      <c r="CL59" s="206">
        <f t="shared" si="37"/>
        <v>5647</v>
      </c>
      <c r="CM59" s="608">
        <f t="shared" ref="CM59:CM82" si="76">CL59/CF59</f>
        <v>0.15911524373062835</v>
      </c>
      <c r="CN59" s="309">
        <v>33328</v>
      </c>
      <c r="CO59" s="206">
        <f t="shared" si="38"/>
        <v>-7809</v>
      </c>
      <c r="CP59" s="199">
        <f t="shared" si="39"/>
        <v>-0.18982910761601479</v>
      </c>
    </row>
    <row r="60" spans="1:95" s="148" customFormat="1" ht="18" customHeight="1" x14ac:dyDescent="0.25">
      <c r="A60" s="312" t="s">
        <v>175</v>
      </c>
      <c r="B60" s="567">
        <v>0</v>
      </c>
      <c r="C60" s="567">
        <v>0</v>
      </c>
      <c r="D60" s="416">
        <f t="shared" ref="D60:D117" si="77">C60-B60</f>
        <v>0</v>
      </c>
      <c r="E60" s="567" t="s">
        <v>132</v>
      </c>
      <c r="F60" s="567">
        <v>5447</v>
      </c>
      <c r="G60" s="203">
        <f t="shared" ref="G60:G117" si="78">F60-C60</f>
        <v>5447</v>
      </c>
      <c r="H60" s="567" t="s">
        <v>132</v>
      </c>
      <c r="I60" s="203">
        <v>6116</v>
      </c>
      <c r="J60" s="203">
        <f t="shared" ref="J60:J117" si="79">I60-F60</f>
        <v>669</v>
      </c>
      <c r="K60" s="567" t="s">
        <v>132</v>
      </c>
      <c r="L60" s="203">
        <v>6106</v>
      </c>
      <c r="M60" s="203">
        <v>-60</v>
      </c>
      <c r="N60" s="397">
        <v>-9.7307817061303929E-3</v>
      </c>
      <c r="O60" s="203">
        <v>5946</v>
      </c>
      <c r="P60" s="203">
        <f t="shared" ref="P60:P70" si="80">O60-L60</f>
        <v>-160</v>
      </c>
      <c r="Q60" s="397">
        <f t="shared" si="55"/>
        <v>-2.6203734032099576E-2</v>
      </c>
      <c r="R60" s="203">
        <v>5918</v>
      </c>
      <c r="S60" s="203">
        <f t="shared" si="56"/>
        <v>-28</v>
      </c>
      <c r="T60" s="397">
        <f t="shared" si="57"/>
        <v>-4.7090480995627309E-3</v>
      </c>
      <c r="U60" s="203">
        <v>6563</v>
      </c>
      <c r="V60" s="203">
        <f t="shared" ref="V60:V79" si="81">U60-R60</f>
        <v>645</v>
      </c>
      <c r="W60" s="397">
        <f t="shared" ref="W60:W77" si="82">V60/R60</f>
        <v>0.10898952348766475</v>
      </c>
      <c r="X60" s="201">
        <v>8042</v>
      </c>
      <c r="Y60" s="203">
        <f t="shared" si="58"/>
        <v>1479</v>
      </c>
      <c r="Z60" s="484">
        <f t="shared" si="59"/>
        <v>0.22535425872314491</v>
      </c>
      <c r="AA60" s="203">
        <v>9423</v>
      </c>
      <c r="AB60" s="564">
        <f t="shared" si="60"/>
        <v>1381</v>
      </c>
      <c r="AC60" s="485">
        <f t="shared" si="61"/>
        <v>0.17172345187764237</v>
      </c>
      <c r="AD60" s="418">
        <v>7618</v>
      </c>
      <c r="AE60" s="418">
        <v>60</v>
      </c>
      <c r="AF60" s="203">
        <v>7249</v>
      </c>
      <c r="AG60" s="203">
        <f t="shared" si="62"/>
        <v>-2174</v>
      </c>
      <c r="AH60" s="397">
        <f t="shared" si="63"/>
        <v>-0.23071208744561181</v>
      </c>
      <c r="AI60" s="418">
        <f>AF60+204</f>
        <v>7453</v>
      </c>
      <c r="AJ60" s="418">
        <f>AF60+204</f>
        <v>7453</v>
      </c>
      <c r="AK60" s="418">
        <v>8369</v>
      </c>
      <c r="AM60" s="203">
        <f t="shared" si="64"/>
        <v>8369</v>
      </c>
      <c r="AN60" s="148">
        <v>6112</v>
      </c>
      <c r="AO60" s="148">
        <v>6130</v>
      </c>
      <c r="AP60" s="309">
        <v>977</v>
      </c>
      <c r="AQ60" s="309">
        <v>95</v>
      </c>
      <c r="AR60" s="309">
        <f t="shared" ref="AR60:AR82" si="83">AP60+AQ60</f>
        <v>1072</v>
      </c>
      <c r="AS60" s="203">
        <f t="shared" ref="AS60:AS81" si="84">BB60+AR60</f>
        <v>6571.4900099999995</v>
      </c>
      <c r="AT60" s="418">
        <f t="shared" ref="AT60:AT82" si="85">AS60-AF60</f>
        <v>-677.50999000000047</v>
      </c>
      <c r="AU60" s="362">
        <f t="shared" ref="AU60:AU82" si="86">AT60/AF60</f>
        <v>-9.3462545178645398E-2</v>
      </c>
      <c r="AV60" s="418">
        <f t="shared" si="65"/>
        <v>-677.50999000000047</v>
      </c>
      <c r="AW60" s="362">
        <f t="shared" si="66"/>
        <v>-9.3462545178645398E-2</v>
      </c>
      <c r="AX60" s="203">
        <f>5974</f>
        <v>5974</v>
      </c>
      <c r="AY60" s="203">
        <f t="shared" si="27"/>
        <v>-1275</v>
      </c>
      <c r="AZ60" s="397">
        <f t="shared" si="28"/>
        <v>-0.17588632914884811</v>
      </c>
      <c r="BA60" s="591">
        <f>5830.60929+23.7824</f>
        <v>5854.3916900000004</v>
      </c>
      <c r="BB60" s="591">
        <f>5480.12761+19.3624</f>
        <v>5499.4900099999995</v>
      </c>
      <c r="BC60" s="560">
        <f t="shared" ref="BC60:BC81" si="87">BA60-BB60</f>
        <v>354.90168000000085</v>
      </c>
      <c r="BD60" s="304">
        <f t="shared" ref="BD60:BD81" si="88">BC60/BA60</f>
        <v>6.0621444343434569E-2</v>
      </c>
      <c r="BE60" s="203">
        <v>6190</v>
      </c>
      <c r="BF60" s="203">
        <f t="shared" si="67"/>
        <v>216</v>
      </c>
      <c r="BG60" s="397">
        <f t="shared" si="68"/>
        <v>3.6156678942082354E-2</v>
      </c>
      <c r="BH60" s="418">
        <v>1251</v>
      </c>
      <c r="BI60" s="418"/>
      <c r="BJ60" s="418"/>
      <c r="BK60" s="418">
        <v>18</v>
      </c>
      <c r="BL60" s="309">
        <f t="shared" si="31"/>
        <v>7459</v>
      </c>
      <c r="BM60" s="309">
        <f t="shared" si="69"/>
        <v>887.50999000000047</v>
      </c>
      <c r="BN60" s="309">
        <v>6389</v>
      </c>
      <c r="BO60" s="309">
        <v>6589</v>
      </c>
      <c r="BP60" s="206">
        <f t="shared" si="33"/>
        <v>399</v>
      </c>
      <c r="BQ60" s="362">
        <f t="shared" si="70"/>
        <v>0.13505460537099723</v>
      </c>
      <c r="BR60" s="205">
        <f t="shared" si="34"/>
        <v>6.4458804523424881E-2</v>
      </c>
      <c r="BS60" s="309">
        <v>1339</v>
      </c>
      <c r="BV60" s="309">
        <v>0</v>
      </c>
      <c r="BW60" s="206">
        <f t="shared" si="71"/>
        <v>7728</v>
      </c>
      <c r="BX60" s="206">
        <v>6589</v>
      </c>
      <c r="BY60" s="206"/>
      <c r="BZ60" s="206">
        <v>6403</v>
      </c>
      <c r="CA60" s="206">
        <f t="shared" si="40"/>
        <v>213</v>
      </c>
      <c r="CB60" s="199">
        <f t="shared" si="72"/>
        <v>3.4410339256865916E-2</v>
      </c>
      <c r="CC60" s="309">
        <v>6581</v>
      </c>
      <c r="CD60" s="309">
        <v>6531</v>
      </c>
      <c r="CE60" s="309">
        <v>686</v>
      </c>
      <c r="CF60" s="206">
        <v>10093</v>
      </c>
      <c r="CG60" s="206">
        <f t="shared" si="73"/>
        <v>3690</v>
      </c>
      <c r="CH60" s="304">
        <f t="shared" si="74"/>
        <v>0.57629236295486486</v>
      </c>
      <c r="CI60" s="309">
        <v>9439</v>
      </c>
      <c r="CJ60" s="309"/>
      <c r="CK60" s="309">
        <f t="shared" si="75"/>
        <v>9439</v>
      </c>
      <c r="CL60" s="206">
        <f t="shared" si="37"/>
        <v>-654</v>
      </c>
      <c r="CM60" s="608">
        <f t="shared" si="76"/>
        <v>-6.4797384325770341E-2</v>
      </c>
      <c r="CN60" s="309">
        <v>8952</v>
      </c>
      <c r="CO60" s="206">
        <f t="shared" si="38"/>
        <v>-487</v>
      </c>
      <c r="CP60" s="199">
        <f t="shared" si="39"/>
        <v>-5.1594448564466572E-2</v>
      </c>
    </row>
    <row r="61" spans="1:95" s="148" customFormat="1" ht="18" customHeight="1" x14ac:dyDescent="0.25">
      <c r="A61" s="312" t="s">
        <v>176</v>
      </c>
      <c r="B61" s="567">
        <v>0</v>
      </c>
      <c r="C61" s="567">
        <v>0</v>
      </c>
      <c r="D61" s="416">
        <f t="shared" si="77"/>
        <v>0</v>
      </c>
      <c r="E61" s="567" t="s">
        <v>132</v>
      </c>
      <c r="F61" s="567">
        <v>1216</v>
      </c>
      <c r="G61" s="203">
        <f t="shared" si="78"/>
        <v>1216</v>
      </c>
      <c r="H61" s="567" t="s">
        <v>132</v>
      </c>
      <c r="I61" s="203">
        <v>959</v>
      </c>
      <c r="J61" s="203">
        <f t="shared" si="79"/>
        <v>-257</v>
      </c>
      <c r="K61" s="567" t="s">
        <v>132</v>
      </c>
      <c r="L61" s="203">
        <v>1002</v>
      </c>
      <c r="M61" s="203">
        <v>43</v>
      </c>
      <c r="N61" s="397">
        <v>4.4838373305526591E-2</v>
      </c>
      <c r="O61" s="203">
        <v>982</v>
      </c>
      <c r="P61" s="203">
        <f t="shared" si="80"/>
        <v>-20</v>
      </c>
      <c r="Q61" s="397">
        <f t="shared" si="55"/>
        <v>-1.9960079840319361E-2</v>
      </c>
      <c r="R61" s="203">
        <v>1698</v>
      </c>
      <c r="S61" s="203">
        <f t="shared" si="56"/>
        <v>716</v>
      </c>
      <c r="T61" s="397">
        <f t="shared" si="57"/>
        <v>0.72912423625254585</v>
      </c>
      <c r="U61" s="203">
        <v>2048</v>
      </c>
      <c r="V61" s="203">
        <f t="shared" si="81"/>
        <v>350</v>
      </c>
      <c r="W61" s="397">
        <f t="shared" si="82"/>
        <v>0.2061248527679623</v>
      </c>
      <c r="X61" s="201">
        <v>4493</v>
      </c>
      <c r="Y61" s="203">
        <f t="shared" si="58"/>
        <v>2445</v>
      </c>
      <c r="Z61" s="484">
        <f t="shared" si="59"/>
        <v>1.19384765625</v>
      </c>
      <c r="AA61" s="203">
        <v>3225</v>
      </c>
      <c r="AB61" s="564">
        <f t="shared" si="60"/>
        <v>-1268</v>
      </c>
      <c r="AC61" s="485">
        <f t="shared" si="61"/>
        <v>-0.28221678166036057</v>
      </c>
      <c r="AD61" s="418">
        <v>2385</v>
      </c>
      <c r="AE61" s="418"/>
      <c r="AF61" s="203">
        <v>2339</v>
      </c>
      <c r="AG61" s="203">
        <f t="shared" si="62"/>
        <v>-886</v>
      </c>
      <c r="AH61" s="397">
        <f t="shared" si="63"/>
        <v>-0.27472868217054264</v>
      </c>
      <c r="AI61" s="418">
        <f>AF61-271</f>
        <v>2068</v>
      </c>
      <c r="AJ61" s="418">
        <f>AF61-271</f>
        <v>2068</v>
      </c>
      <c r="AK61" s="418">
        <v>2453</v>
      </c>
      <c r="AM61" s="203">
        <f t="shared" si="64"/>
        <v>2453</v>
      </c>
      <c r="AN61" s="148">
        <v>2114</v>
      </c>
      <c r="AO61" s="148">
        <v>2114</v>
      </c>
      <c r="AP61" s="309">
        <v>88</v>
      </c>
      <c r="AQ61" s="309">
        <v>28</v>
      </c>
      <c r="AR61" s="309">
        <f t="shared" si="83"/>
        <v>116</v>
      </c>
      <c r="AS61" s="203">
        <f t="shared" si="84"/>
        <v>7651.7482600000003</v>
      </c>
      <c r="AT61" s="418">
        <f t="shared" si="85"/>
        <v>5312.7482600000003</v>
      </c>
      <c r="AU61" s="362">
        <f t="shared" si="86"/>
        <v>2.2713759127832409</v>
      </c>
      <c r="AV61" s="418">
        <f t="shared" si="65"/>
        <v>5312.7482600000003</v>
      </c>
      <c r="AW61" s="362">
        <f t="shared" si="66"/>
        <v>2.2713759127832409</v>
      </c>
      <c r="AX61" s="203">
        <f>4653+3023</f>
        <v>7676</v>
      </c>
      <c r="AY61" s="203">
        <f t="shared" si="27"/>
        <v>5337</v>
      </c>
      <c r="AZ61" s="397">
        <f t="shared" si="28"/>
        <v>2.281744335185977</v>
      </c>
      <c r="BA61" s="560">
        <v>7676.28078</v>
      </c>
      <c r="BB61" s="560">
        <v>7535.7482600000003</v>
      </c>
      <c r="BC61" s="560">
        <f t="shared" si="87"/>
        <v>140.53251999999975</v>
      </c>
      <c r="BD61" s="304">
        <f t="shared" si="88"/>
        <v>1.8307370981810251E-2</v>
      </c>
      <c r="BE61" s="203">
        <v>4792</v>
      </c>
      <c r="BF61" s="203">
        <f t="shared" si="67"/>
        <v>-2884</v>
      </c>
      <c r="BG61" s="397">
        <f t="shared" si="68"/>
        <v>-0.3757165190203231</v>
      </c>
      <c r="BH61" s="418">
        <v>69</v>
      </c>
      <c r="BI61" s="418"/>
      <c r="BJ61" s="418"/>
      <c r="BK61" s="418">
        <v>40</v>
      </c>
      <c r="BL61" s="309">
        <f t="shared" si="31"/>
        <v>4901</v>
      </c>
      <c r="BM61" s="309">
        <f t="shared" si="69"/>
        <v>-2750.7482600000003</v>
      </c>
      <c r="BN61" s="309">
        <v>5276</v>
      </c>
      <c r="BO61" s="309">
        <v>5276</v>
      </c>
      <c r="BP61" s="206">
        <f t="shared" si="33"/>
        <v>484</v>
      </c>
      <c r="BQ61" s="362">
        <f t="shared" si="70"/>
        <v>-0.35949278080405644</v>
      </c>
      <c r="BR61" s="205">
        <f t="shared" si="34"/>
        <v>0.1010016694490818</v>
      </c>
      <c r="BS61" s="309">
        <v>86</v>
      </c>
      <c r="BV61" s="309">
        <v>1</v>
      </c>
      <c r="BW61" s="206">
        <f t="shared" si="71"/>
        <v>5363</v>
      </c>
      <c r="BX61" s="206">
        <v>5276</v>
      </c>
      <c r="BY61" s="206"/>
      <c r="BZ61" s="206">
        <v>4047</v>
      </c>
      <c r="CA61" s="206">
        <f t="shared" si="40"/>
        <v>-745</v>
      </c>
      <c r="CB61" s="199">
        <f t="shared" si="72"/>
        <v>-0.15546744574290483</v>
      </c>
      <c r="CC61" s="309">
        <v>6568</v>
      </c>
      <c r="CD61" s="309">
        <v>7464</v>
      </c>
      <c r="CE61" s="309"/>
      <c r="CF61" s="206">
        <v>7734</v>
      </c>
      <c r="CG61" s="206">
        <f t="shared" si="73"/>
        <v>3687</v>
      </c>
      <c r="CH61" s="304">
        <f t="shared" si="74"/>
        <v>0.91104521868050403</v>
      </c>
      <c r="CI61" s="309">
        <v>8985</v>
      </c>
      <c r="CJ61" s="309"/>
      <c r="CK61" s="309">
        <f t="shared" si="75"/>
        <v>8985</v>
      </c>
      <c r="CL61" s="206">
        <f t="shared" si="37"/>
        <v>1251</v>
      </c>
      <c r="CM61" s="608">
        <f t="shared" si="76"/>
        <v>0.1617532971295578</v>
      </c>
      <c r="CN61" s="309">
        <v>8732</v>
      </c>
      <c r="CO61" s="206">
        <f t="shared" si="38"/>
        <v>-253</v>
      </c>
      <c r="CP61" s="199">
        <f t="shared" si="39"/>
        <v>-2.8158041179744017E-2</v>
      </c>
    </row>
    <row r="62" spans="1:95" s="148" customFormat="1" ht="18" customHeight="1" x14ac:dyDescent="0.25">
      <c r="A62" s="312" t="s">
        <v>177</v>
      </c>
      <c r="B62" s="567">
        <v>0</v>
      </c>
      <c r="C62" s="567">
        <v>0</v>
      </c>
      <c r="D62" s="416">
        <f t="shared" si="77"/>
        <v>0</v>
      </c>
      <c r="E62" s="567" t="s">
        <v>132</v>
      </c>
      <c r="F62" s="567">
        <v>427</v>
      </c>
      <c r="G62" s="203">
        <f t="shared" si="78"/>
        <v>427</v>
      </c>
      <c r="H62" s="567" t="s">
        <v>132</v>
      </c>
      <c r="I62" s="203">
        <v>443</v>
      </c>
      <c r="J62" s="203">
        <f t="shared" si="79"/>
        <v>16</v>
      </c>
      <c r="K62" s="567" t="s">
        <v>132</v>
      </c>
      <c r="L62" s="203">
        <v>515</v>
      </c>
      <c r="M62" s="203">
        <v>72</v>
      </c>
      <c r="N62" s="397">
        <v>0.16252821670428894</v>
      </c>
      <c r="O62" s="203">
        <v>516</v>
      </c>
      <c r="P62" s="203">
        <f t="shared" si="80"/>
        <v>1</v>
      </c>
      <c r="Q62" s="397">
        <f t="shared" si="55"/>
        <v>1.9417475728155339E-3</v>
      </c>
      <c r="R62" s="203">
        <v>536</v>
      </c>
      <c r="S62" s="203">
        <f t="shared" si="56"/>
        <v>20</v>
      </c>
      <c r="T62" s="397">
        <f t="shared" si="57"/>
        <v>3.875968992248062E-2</v>
      </c>
      <c r="U62" s="203">
        <v>543</v>
      </c>
      <c r="V62" s="203">
        <f t="shared" si="81"/>
        <v>7</v>
      </c>
      <c r="W62" s="397">
        <f t="shared" si="82"/>
        <v>1.3059701492537313E-2</v>
      </c>
      <c r="X62" s="201">
        <v>841</v>
      </c>
      <c r="Y62" s="203">
        <f t="shared" si="58"/>
        <v>298</v>
      </c>
      <c r="Z62" s="484">
        <f t="shared" si="59"/>
        <v>0.54880294659300188</v>
      </c>
      <c r="AA62" s="203">
        <v>652</v>
      </c>
      <c r="AB62" s="564">
        <f t="shared" si="60"/>
        <v>-189</v>
      </c>
      <c r="AC62" s="485">
        <f t="shared" si="61"/>
        <v>-0.22473246135552913</v>
      </c>
      <c r="AD62" s="418">
        <v>584</v>
      </c>
      <c r="AE62" s="418">
        <v>52</v>
      </c>
      <c r="AF62" s="203">
        <v>537</v>
      </c>
      <c r="AG62" s="203">
        <f t="shared" si="62"/>
        <v>-115</v>
      </c>
      <c r="AH62" s="397">
        <f t="shared" si="63"/>
        <v>-0.17638036809815952</v>
      </c>
      <c r="AI62" s="319">
        <f>AF62</f>
        <v>537</v>
      </c>
      <c r="AJ62" s="319">
        <f>AF62</f>
        <v>537</v>
      </c>
      <c r="AK62" s="418">
        <v>595</v>
      </c>
      <c r="AM62" s="203">
        <f t="shared" si="64"/>
        <v>595</v>
      </c>
      <c r="AN62" s="148">
        <v>555</v>
      </c>
      <c r="AO62" s="148">
        <v>602</v>
      </c>
      <c r="AP62" s="309">
        <v>0</v>
      </c>
      <c r="AQ62" s="309">
        <v>2</v>
      </c>
      <c r="AR62" s="309">
        <f t="shared" si="83"/>
        <v>2</v>
      </c>
      <c r="AS62" s="203">
        <f t="shared" si="84"/>
        <v>646.78075000000001</v>
      </c>
      <c r="AT62" s="418">
        <f t="shared" si="85"/>
        <v>109.78075000000001</v>
      </c>
      <c r="AU62" s="362">
        <f t="shared" si="86"/>
        <v>0.204433426443203</v>
      </c>
      <c r="AV62" s="418">
        <f t="shared" si="65"/>
        <v>109.78075000000001</v>
      </c>
      <c r="AW62" s="362">
        <f t="shared" si="66"/>
        <v>0.204433426443203</v>
      </c>
      <c r="AX62" s="203">
        <f>593+3</f>
        <v>596</v>
      </c>
      <c r="AY62" s="203">
        <f t="shared" si="27"/>
        <v>59</v>
      </c>
      <c r="AZ62" s="397">
        <f t="shared" si="28"/>
        <v>0.10986964618249534</v>
      </c>
      <c r="BA62" s="560">
        <f>670.42108+76.359</f>
        <v>746.78008</v>
      </c>
      <c r="BB62" s="560">
        <f>571.1893+73.59145</f>
        <v>644.78075000000001</v>
      </c>
      <c r="BC62" s="560">
        <f t="shared" si="87"/>
        <v>101.99932999999999</v>
      </c>
      <c r="BD62" s="304">
        <f t="shared" si="88"/>
        <v>0.13658549917400045</v>
      </c>
      <c r="BE62" s="203">
        <v>720</v>
      </c>
      <c r="BF62" s="203">
        <f t="shared" si="67"/>
        <v>124</v>
      </c>
      <c r="BG62" s="397">
        <f t="shared" si="68"/>
        <v>0.20805369127516779</v>
      </c>
      <c r="BH62" s="418">
        <v>23</v>
      </c>
      <c r="BI62" s="418"/>
      <c r="BJ62" s="418"/>
      <c r="BK62" s="418">
        <v>1</v>
      </c>
      <c r="BL62" s="309">
        <f t="shared" si="31"/>
        <v>744</v>
      </c>
      <c r="BM62" s="309">
        <f t="shared" si="69"/>
        <v>97.219249999999988</v>
      </c>
      <c r="BN62" s="309">
        <v>869</v>
      </c>
      <c r="BO62" s="309">
        <v>869</v>
      </c>
      <c r="BP62" s="206">
        <f t="shared" si="33"/>
        <v>149</v>
      </c>
      <c r="BQ62" s="362">
        <f t="shared" si="70"/>
        <v>0.15031252862735942</v>
      </c>
      <c r="BR62" s="205">
        <f t="shared" si="34"/>
        <v>0.20694444444444443</v>
      </c>
      <c r="BS62" s="309">
        <v>146</v>
      </c>
      <c r="BV62" s="309">
        <v>1</v>
      </c>
      <c r="BW62" s="206">
        <f t="shared" si="71"/>
        <v>1016</v>
      </c>
      <c r="BX62" s="206">
        <v>869</v>
      </c>
      <c r="BY62" s="206"/>
      <c r="BZ62" s="206">
        <v>867</v>
      </c>
      <c r="CA62" s="206">
        <f t="shared" si="40"/>
        <v>147</v>
      </c>
      <c r="CB62" s="199">
        <f t="shared" si="72"/>
        <v>0.20416666666666666</v>
      </c>
      <c r="CC62" s="309">
        <v>889</v>
      </c>
      <c r="CD62" s="309">
        <v>5160</v>
      </c>
      <c r="CE62" s="309">
        <v>-4271</v>
      </c>
      <c r="CF62" s="206">
        <v>883</v>
      </c>
      <c r="CG62" s="206">
        <f t="shared" si="73"/>
        <v>16</v>
      </c>
      <c r="CH62" s="304">
        <f t="shared" si="74"/>
        <v>1.845444059976932E-2</v>
      </c>
      <c r="CI62" s="309">
        <v>3700</v>
      </c>
      <c r="CJ62" s="309"/>
      <c r="CK62" s="309">
        <f t="shared" si="75"/>
        <v>3700</v>
      </c>
      <c r="CL62" s="206">
        <f t="shared" si="37"/>
        <v>2817</v>
      </c>
      <c r="CM62" s="608">
        <f t="shared" si="76"/>
        <v>3.190260475651189</v>
      </c>
      <c r="CN62" s="309">
        <v>12323</v>
      </c>
      <c r="CO62" s="206">
        <f t="shared" si="38"/>
        <v>8623</v>
      </c>
      <c r="CP62" s="199">
        <f t="shared" si="39"/>
        <v>2.3305405405405404</v>
      </c>
      <c r="CQ62" s="148" t="s">
        <v>512</v>
      </c>
    </row>
    <row r="63" spans="1:95" s="148" customFormat="1" ht="18" customHeight="1" x14ac:dyDescent="0.25">
      <c r="A63" s="312" t="s">
        <v>178</v>
      </c>
      <c r="B63" s="416">
        <v>1222</v>
      </c>
      <c r="C63" s="416">
        <v>1813</v>
      </c>
      <c r="D63" s="416">
        <f t="shared" si="77"/>
        <v>591</v>
      </c>
      <c r="E63" s="563">
        <f>(C63-B63)/B63</f>
        <v>0.48363338788870702</v>
      </c>
      <c r="F63" s="203">
        <v>1892</v>
      </c>
      <c r="G63" s="203">
        <f t="shared" si="78"/>
        <v>79</v>
      </c>
      <c r="H63" s="362">
        <f>(F63-C63)/C63</f>
        <v>4.3574186431329286E-2</v>
      </c>
      <c r="I63" s="203">
        <v>2302</v>
      </c>
      <c r="J63" s="203">
        <f t="shared" si="79"/>
        <v>410</v>
      </c>
      <c r="K63" s="362">
        <f>(I63-F63)/F63</f>
        <v>0.21670190274841439</v>
      </c>
      <c r="L63" s="203">
        <v>2464</v>
      </c>
      <c r="M63" s="203">
        <v>162</v>
      </c>
      <c r="N63" s="397">
        <v>7.0373588184187666E-2</v>
      </c>
      <c r="O63" s="203">
        <v>2457</v>
      </c>
      <c r="P63" s="203">
        <f t="shared" si="80"/>
        <v>-7</v>
      </c>
      <c r="Q63" s="397">
        <f t="shared" si="55"/>
        <v>-2.840909090909091E-3</v>
      </c>
      <c r="R63" s="203">
        <v>2602</v>
      </c>
      <c r="S63" s="203">
        <f t="shared" si="56"/>
        <v>145</v>
      </c>
      <c r="T63" s="397">
        <f t="shared" si="57"/>
        <v>5.9015059015059018E-2</v>
      </c>
      <c r="U63" s="203">
        <v>3055</v>
      </c>
      <c r="V63" s="203">
        <f t="shared" si="81"/>
        <v>453</v>
      </c>
      <c r="W63" s="397">
        <f t="shared" si="82"/>
        <v>0.17409684857801691</v>
      </c>
      <c r="X63" s="201">
        <v>3094</v>
      </c>
      <c r="Y63" s="203">
        <f t="shared" si="58"/>
        <v>39</v>
      </c>
      <c r="Z63" s="484">
        <f t="shared" si="59"/>
        <v>1.276595744680851E-2</v>
      </c>
      <c r="AA63" s="203">
        <v>3137</v>
      </c>
      <c r="AB63" s="564">
        <f t="shared" si="60"/>
        <v>43</v>
      </c>
      <c r="AC63" s="485">
        <f t="shared" si="61"/>
        <v>1.3897866839043309E-2</v>
      </c>
      <c r="AD63" s="418">
        <v>3136</v>
      </c>
      <c r="AE63" s="418"/>
      <c r="AF63" s="203">
        <v>2986</v>
      </c>
      <c r="AG63" s="203">
        <f t="shared" si="62"/>
        <v>-151</v>
      </c>
      <c r="AH63" s="397">
        <f t="shared" si="63"/>
        <v>-4.8135160981829773E-2</v>
      </c>
      <c r="AI63" s="319">
        <f>AF63</f>
        <v>2986</v>
      </c>
      <c r="AJ63" s="319">
        <f>AF63</f>
        <v>2986</v>
      </c>
      <c r="AK63" s="418">
        <v>3224</v>
      </c>
      <c r="AM63" s="203">
        <f t="shared" si="64"/>
        <v>3224</v>
      </c>
      <c r="AN63" s="148">
        <v>2657</v>
      </c>
      <c r="AO63" s="148">
        <v>2657</v>
      </c>
      <c r="AP63" s="309">
        <v>180</v>
      </c>
      <c r="AQ63" s="309">
        <v>15</v>
      </c>
      <c r="AR63" s="309">
        <f t="shared" si="83"/>
        <v>195</v>
      </c>
      <c r="AS63" s="203">
        <f t="shared" si="84"/>
        <v>2661.2408</v>
      </c>
      <c r="AT63" s="418">
        <f t="shared" si="85"/>
        <v>-324.75919999999996</v>
      </c>
      <c r="AU63" s="362">
        <f t="shared" si="86"/>
        <v>-0.1087606162089752</v>
      </c>
      <c r="AV63" s="418">
        <f t="shared" si="65"/>
        <v>-324.75919999999996</v>
      </c>
      <c r="AW63" s="362">
        <f t="shared" si="66"/>
        <v>-0.1087606162089752</v>
      </c>
      <c r="AX63" s="203">
        <v>2553</v>
      </c>
      <c r="AY63" s="203">
        <f t="shared" si="27"/>
        <v>-433</v>
      </c>
      <c r="AZ63" s="397">
        <f t="shared" si="28"/>
        <v>-0.14501004688546551</v>
      </c>
      <c r="BA63" s="560">
        <v>2553.3083700000002</v>
      </c>
      <c r="BB63" s="560">
        <v>2466.2408</v>
      </c>
      <c r="BC63" s="560">
        <f t="shared" si="87"/>
        <v>87.06757000000016</v>
      </c>
      <c r="BD63" s="304">
        <f t="shared" si="88"/>
        <v>3.4099903882741804E-2</v>
      </c>
      <c r="BE63" s="203">
        <v>2521</v>
      </c>
      <c r="BF63" s="203">
        <f t="shared" si="67"/>
        <v>-32</v>
      </c>
      <c r="BG63" s="397">
        <f t="shared" si="68"/>
        <v>-1.2534273403838621E-2</v>
      </c>
      <c r="BH63" s="418">
        <v>140</v>
      </c>
      <c r="BI63" s="418"/>
      <c r="BJ63" s="418"/>
      <c r="BK63" s="418">
        <v>10</v>
      </c>
      <c r="BL63" s="309">
        <f t="shared" si="31"/>
        <v>2671</v>
      </c>
      <c r="BM63" s="309">
        <f t="shared" si="69"/>
        <v>9.7591999999999643</v>
      </c>
      <c r="BN63" s="309">
        <v>2596</v>
      </c>
      <c r="BO63" s="309">
        <v>2596</v>
      </c>
      <c r="BP63" s="206">
        <f t="shared" si="33"/>
        <v>75</v>
      </c>
      <c r="BQ63" s="362">
        <f t="shared" si="70"/>
        <v>3.6671615736539004E-3</v>
      </c>
      <c r="BR63" s="205">
        <f t="shared" si="34"/>
        <v>2.9750099166997224E-2</v>
      </c>
      <c r="BS63" s="309">
        <v>174</v>
      </c>
      <c r="BV63" s="309">
        <v>1</v>
      </c>
      <c r="BW63" s="206">
        <f t="shared" si="71"/>
        <v>2771</v>
      </c>
      <c r="BX63" s="206">
        <v>2596</v>
      </c>
      <c r="BY63" s="206"/>
      <c r="BZ63" s="206">
        <v>2565</v>
      </c>
      <c r="CA63" s="206">
        <f t="shared" si="40"/>
        <v>44</v>
      </c>
      <c r="CB63" s="199">
        <f t="shared" si="72"/>
        <v>1.7453391511305039E-2</v>
      </c>
      <c r="CC63" s="309">
        <v>2628</v>
      </c>
      <c r="CD63" s="309">
        <v>2628</v>
      </c>
      <c r="CE63" s="309"/>
      <c r="CF63" s="206">
        <v>2666</v>
      </c>
      <c r="CG63" s="206">
        <f t="shared" si="73"/>
        <v>101</v>
      </c>
      <c r="CH63" s="304">
        <f t="shared" si="74"/>
        <v>3.9376218323586745E-2</v>
      </c>
      <c r="CI63" s="309">
        <v>2705</v>
      </c>
      <c r="CJ63" s="309"/>
      <c r="CK63" s="309">
        <f t="shared" si="75"/>
        <v>2705</v>
      </c>
      <c r="CL63" s="206">
        <f t="shared" si="37"/>
        <v>39</v>
      </c>
      <c r="CM63" s="608">
        <f t="shared" si="76"/>
        <v>1.4628657164291074E-2</v>
      </c>
      <c r="CN63" s="309">
        <v>2781</v>
      </c>
      <c r="CO63" s="206">
        <f t="shared" si="38"/>
        <v>76</v>
      </c>
      <c r="CP63" s="199">
        <f t="shared" si="39"/>
        <v>2.8096118299445472E-2</v>
      </c>
    </row>
    <row r="64" spans="1:95" s="148" customFormat="1" ht="18" customHeight="1" x14ac:dyDescent="0.25">
      <c r="A64" s="312" t="s">
        <v>179</v>
      </c>
      <c r="B64" s="416">
        <f>3988+1898</f>
        <v>5886</v>
      </c>
      <c r="C64" s="416">
        <f>4998+3055</f>
        <v>8053</v>
      </c>
      <c r="D64" s="416">
        <f t="shared" si="77"/>
        <v>2167</v>
      </c>
      <c r="E64" s="563">
        <f>(C64-B64)/B64</f>
        <v>0.36816173972137273</v>
      </c>
      <c r="F64" s="203">
        <f>5425+2860</f>
        <v>8285</v>
      </c>
      <c r="G64" s="203">
        <f t="shared" si="78"/>
        <v>232</v>
      </c>
      <c r="H64" s="362">
        <f>(F64-C64)/C64</f>
        <v>2.8809139451136223E-2</v>
      </c>
      <c r="I64" s="203">
        <f>5787+4395</f>
        <v>10182</v>
      </c>
      <c r="J64" s="203">
        <f t="shared" si="79"/>
        <v>1897</v>
      </c>
      <c r="K64" s="362">
        <f>(I64-F64)/F64</f>
        <v>0.22896801448400725</v>
      </c>
      <c r="L64" s="203">
        <v>16587</v>
      </c>
      <c r="M64" s="203">
        <v>6405</v>
      </c>
      <c r="N64" s="397">
        <v>0.6290512669416618</v>
      </c>
      <c r="O64" s="203">
        <v>47491</v>
      </c>
      <c r="P64" s="203">
        <f t="shared" si="80"/>
        <v>30904</v>
      </c>
      <c r="Q64" s="397">
        <f t="shared" si="55"/>
        <v>1.8631458371013445</v>
      </c>
      <c r="R64" s="203">
        <v>51385</v>
      </c>
      <c r="S64" s="203">
        <f t="shared" si="56"/>
        <v>3894</v>
      </c>
      <c r="T64" s="397">
        <f t="shared" si="57"/>
        <v>8.1994483165231308E-2</v>
      </c>
      <c r="U64" s="203">
        <f>5543+69742</f>
        <v>75285</v>
      </c>
      <c r="V64" s="203">
        <f t="shared" si="81"/>
        <v>23900</v>
      </c>
      <c r="W64" s="397">
        <f t="shared" si="82"/>
        <v>0.46511627906976744</v>
      </c>
      <c r="X64" s="201">
        <f>19439</f>
        <v>19439</v>
      </c>
      <c r="Y64" s="203">
        <f t="shared" si="58"/>
        <v>-55846</v>
      </c>
      <c r="Z64" s="484">
        <f t="shared" si="59"/>
        <v>-0.74179451417945141</v>
      </c>
      <c r="AA64" s="203">
        <f>15851+45832</f>
        <v>61683</v>
      </c>
      <c r="AB64" s="564">
        <f t="shared" si="60"/>
        <v>42244</v>
      </c>
      <c r="AC64" s="485">
        <f t="shared" si="61"/>
        <v>2.1731570554040847</v>
      </c>
      <c r="AD64" s="418">
        <v>10020</v>
      </c>
      <c r="AE64" s="418">
        <v>10603</v>
      </c>
      <c r="AF64" s="203">
        <v>26457</v>
      </c>
      <c r="AG64" s="203">
        <f t="shared" si="62"/>
        <v>-35226</v>
      </c>
      <c r="AH64" s="397">
        <f t="shared" si="63"/>
        <v>-0.57108117309469386</v>
      </c>
      <c r="AI64" s="319">
        <f>AF64+5199</f>
        <v>31656</v>
      </c>
      <c r="AJ64" s="319">
        <f>AF64+6535</f>
        <v>32992</v>
      </c>
      <c r="AK64" s="418">
        <v>9925</v>
      </c>
      <c r="AL64" s="148">
        <v>5031</v>
      </c>
      <c r="AM64" s="203">
        <f t="shared" si="64"/>
        <v>14956</v>
      </c>
      <c r="AN64" s="148">
        <v>12064</v>
      </c>
      <c r="AO64" s="148">
        <v>20478</v>
      </c>
      <c r="AP64" s="309">
        <v>2445</v>
      </c>
      <c r="AQ64" s="309">
        <v>54</v>
      </c>
      <c r="AR64" s="309">
        <f t="shared" si="83"/>
        <v>2499</v>
      </c>
      <c r="AS64" s="203">
        <f>BB64+AR64</f>
        <v>19880.780460000002</v>
      </c>
      <c r="AT64" s="418">
        <f t="shared" si="85"/>
        <v>-6576.2195399999982</v>
      </c>
      <c r="AU64" s="362">
        <f t="shared" si="86"/>
        <v>-0.24856255584533388</v>
      </c>
      <c r="AV64" s="418">
        <f t="shared" si="65"/>
        <v>-6576.2195399999982</v>
      </c>
      <c r="AW64" s="362">
        <f t="shared" si="66"/>
        <v>-0.24856255584533388</v>
      </c>
      <c r="AX64" s="203">
        <f>18876</f>
        <v>18876</v>
      </c>
      <c r="AY64" s="203">
        <f t="shared" si="27"/>
        <v>-7581</v>
      </c>
      <c r="AZ64" s="397">
        <f t="shared" si="28"/>
        <v>-0.28654042408436331</v>
      </c>
      <c r="BA64" s="560">
        <f>10771.66346+8337.43685</f>
        <v>19109.100310000002</v>
      </c>
      <c r="BB64" s="560">
        <f>10771.66346+6610.117</f>
        <v>17381.780460000002</v>
      </c>
      <c r="BC64" s="560">
        <f t="shared" si="87"/>
        <v>1727.3198499999999</v>
      </c>
      <c r="BD64" s="304">
        <f t="shared" si="88"/>
        <v>9.0392526177492216E-2</v>
      </c>
      <c r="BE64" s="203">
        <v>14212</v>
      </c>
      <c r="BF64" s="203">
        <f t="shared" si="67"/>
        <v>-4664</v>
      </c>
      <c r="BG64" s="397">
        <f t="shared" si="68"/>
        <v>-0.24708624708624707</v>
      </c>
      <c r="BH64" s="418">
        <v>3162</v>
      </c>
      <c r="BI64" s="418"/>
      <c r="BJ64" s="418"/>
      <c r="BK64" s="418"/>
      <c r="BL64" s="309">
        <f t="shared" si="31"/>
        <v>17374</v>
      </c>
      <c r="BM64" s="309">
        <f t="shared" si="69"/>
        <v>-2506.7804600000018</v>
      </c>
      <c r="BN64" s="309">
        <v>14784</v>
      </c>
      <c r="BO64" s="309">
        <v>19091</v>
      </c>
      <c r="BP64" s="206">
        <f t="shared" si="33"/>
        <v>4879</v>
      </c>
      <c r="BQ64" s="362">
        <f t="shared" si="70"/>
        <v>-0.1260906464433641</v>
      </c>
      <c r="BR64" s="205">
        <f t="shared" si="34"/>
        <v>0.34330143540669855</v>
      </c>
      <c r="BS64" s="309">
        <v>3377</v>
      </c>
      <c r="BV64" s="309">
        <v>107</v>
      </c>
      <c r="BW64" s="206">
        <f t="shared" si="71"/>
        <v>18268</v>
      </c>
      <c r="BX64" s="206">
        <v>19091</v>
      </c>
      <c r="BY64" s="206"/>
      <c r="BZ64" s="206">
        <v>15110</v>
      </c>
      <c r="CA64" s="206">
        <f t="shared" si="40"/>
        <v>898</v>
      </c>
      <c r="CB64" s="199">
        <f t="shared" si="72"/>
        <v>6.3186039966225724E-2</v>
      </c>
      <c r="CC64" s="309">
        <v>20739</v>
      </c>
      <c r="CD64" s="309">
        <v>20674</v>
      </c>
      <c r="CE64" s="309"/>
      <c r="CF64" s="206">
        <v>14675</v>
      </c>
      <c r="CG64" s="206">
        <f t="shared" si="73"/>
        <v>-435</v>
      </c>
      <c r="CH64" s="304">
        <f t="shared" si="74"/>
        <v>-2.8788881535407016E-2</v>
      </c>
      <c r="CI64" s="309">
        <v>21625</v>
      </c>
      <c r="CJ64" s="309"/>
      <c r="CK64" s="309">
        <f t="shared" si="75"/>
        <v>21625</v>
      </c>
      <c r="CL64" s="206">
        <f t="shared" si="37"/>
        <v>6950</v>
      </c>
      <c r="CM64" s="608">
        <f t="shared" si="76"/>
        <v>0.47359454855195909</v>
      </c>
      <c r="CN64" s="309">
        <v>14741</v>
      </c>
      <c r="CO64" s="206">
        <f t="shared" si="38"/>
        <v>-6884</v>
      </c>
      <c r="CP64" s="199">
        <f t="shared" si="39"/>
        <v>-0.31833526011560692</v>
      </c>
      <c r="CQ64" s="148" t="s">
        <v>513</v>
      </c>
    </row>
    <row r="65" spans="1:95" ht="18" customHeight="1" x14ac:dyDescent="0.25">
      <c r="A65" s="312" t="s">
        <v>180</v>
      </c>
      <c r="B65" s="310" t="s">
        <v>132</v>
      </c>
      <c r="C65" s="310" t="s">
        <v>132</v>
      </c>
      <c r="D65" s="310" t="s">
        <v>132</v>
      </c>
      <c r="E65" s="310" t="s">
        <v>132</v>
      </c>
      <c r="F65" s="310">
        <v>0</v>
      </c>
      <c r="G65" s="310" t="s">
        <v>132</v>
      </c>
      <c r="H65" s="310" t="s">
        <v>132</v>
      </c>
      <c r="I65" s="310">
        <v>0</v>
      </c>
      <c r="J65" s="204">
        <f t="shared" si="79"/>
        <v>0</v>
      </c>
      <c r="K65" s="310" t="s">
        <v>132</v>
      </c>
      <c r="L65" s="310">
        <v>0</v>
      </c>
      <c r="M65" s="204">
        <v>0</v>
      </c>
      <c r="N65" s="394" t="s">
        <v>132</v>
      </c>
      <c r="O65" s="310">
        <v>0</v>
      </c>
      <c r="P65" s="310">
        <v>0</v>
      </c>
      <c r="Q65" s="394" t="s">
        <v>132</v>
      </c>
      <c r="R65" s="204">
        <v>10903</v>
      </c>
      <c r="S65" s="204">
        <f t="shared" si="56"/>
        <v>10903</v>
      </c>
      <c r="T65" s="394" t="s">
        <v>132</v>
      </c>
      <c r="U65" s="204">
        <v>22730</v>
      </c>
      <c r="V65" s="204">
        <f t="shared" si="81"/>
        <v>11827</v>
      </c>
      <c r="W65" s="304">
        <f t="shared" si="82"/>
        <v>1.0847473172521325</v>
      </c>
      <c r="X65" s="201">
        <v>30983</v>
      </c>
      <c r="Y65" s="204">
        <f t="shared" si="58"/>
        <v>8253</v>
      </c>
      <c r="Z65" s="484">
        <f t="shared" si="59"/>
        <v>0.36308842938847341</v>
      </c>
      <c r="AA65" s="203">
        <v>30983</v>
      </c>
      <c r="AB65" s="374">
        <f t="shared" si="60"/>
        <v>0</v>
      </c>
      <c r="AC65" s="205">
        <f t="shared" si="61"/>
        <v>0</v>
      </c>
      <c r="AD65" s="200">
        <v>25103</v>
      </c>
      <c r="AE65" s="200"/>
      <c r="AF65" s="204">
        <v>25103</v>
      </c>
      <c r="AG65" s="204">
        <f t="shared" si="62"/>
        <v>-5880</v>
      </c>
      <c r="AH65" s="304">
        <f t="shared" si="63"/>
        <v>-0.18978149307684861</v>
      </c>
      <c r="AI65" s="319">
        <f>AF65</f>
        <v>25103</v>
      </c>
      <c r="AJ65" s="319">
        <f>AF65</f>
        <v>25103</v>
      </c>
      <c r="AK65" s="200">
        <v>16457</v>
      </c>
      <c r="AL65" s="66">
        <v>9000</v>
      </c>
      <c r="AM65" s="204">
        <f t="shared" si="64"/>
        <v>25457</v>
      </c>
      <c r="AN65" s="66">
        <v>24823</v>
      </c>
      <c r="AO65" s="66">
        <v>24823</v>
      </c>
      <c r="AP65" s="206">
        <v>0</v>
      </c>
      <c r="AQ65" s="206">
        <v>0</v>
      </c>
      <c r="AR65" s="206">
        <f t="shared" si="83"/>
        <v>0</v>
      </c>
      <c r="AS65" s="203">
        <f t="shared" si="84"/>
        <v>22822.88351</v>
      </c>
      <c r="AT65" s="200">
        <f t="shared" si="85"/>
        <v>-2280.1164900000003</v>
      </c>
      <c r="AU65" s="199">
        <f t="shared" si="86"/>
        <v>-9.0830438194638111E-2</v>
      </c>
      <c r="AV65" s="200">
        <f t="shared" si="65"/>
        <v>-2280.1164900000003</v>
      </c>
      <c r="AW65" s="199">
        <f t="shared" si="66"/>
        <v>-9.0830438194638111E-2</v>
      </c>
      <c r="AX65" s="204">
        <v>22823</v>
      </c>
      <c r="AY65" s="204">
        <f t="shared" si="27"/>
        <v>-2280</v>
      </c>
      <c r="AZ65" s="304">
        <f t="shared" si="28"/>
        <v>-9.0825797713420711E-2</v>
      </c>
      <c r="BA65" s="560">
        <v>22822.88351</v>
      </c>
      <c r="BB65" s="560">
        <v>22822.88351</v>
      </c>
      <c r="BC65" s="560">
        <f t="shared" si="87"/>
        <v>0</v>
      </c>
      <c r="BD65" s="304">
        <f t="shared" si="88"/>
        <v>0</v>
      </c>
      <c r="BE65" s="204">
        <f>18000+4000</f>
        <v>22000</v>
      </c>
      <c r="BF65" s="204">
        <f t="shared" si="67"/>
        <v>-823</v>
      </c>
      <c r="BG65" s="304">
        <f t="shared" si="68"/>
        <v>-3.6060114796477236E-2</v>
      </c>
      <c r="BH65" s="200"/>
      <c r="BI65" s="200"/>
      <c r="BJ65" s="200"/>
      <c r="BK65" s="200"/>
      <c r="BL65" s="206">
        <f t="shared" si="31"/>
        <v>22000</v>
      </c>
      <c r="BM65" s="206">
        <f t="shared" si="69"/>
        <v>-822.88350999999966</v>
      </c>
      <c r="BN65" s="206">
        <v>30182</v>
      </c>
      <c r="BO65" s="206">
        <v>14213</v>
      </c>
      <c r="BP65" s="206">
        <f t="shared" si="33"/>
        <v>-7787</v>
      </c>
      <c r="BQ65" s="199">
        <f t="shared" si="70"/>
        <v>-3.605519476272346E-2</v>
      </c>
      <c r="BR65" s="205">
        <f t="shared" si="34"/>
        <v>-0.35395454545454547</v>
      </c>
      <c r="BV65" s="206"/>
      <c r="BW65" s="206">
        <f t="shared" si="71"/>
        <v>30182</v>
      </c>
      <c r="BX65" s="206">
        <f>14213+19969</f>
        <v>34182</v>
      </c>
      <c r="BY65" s="206"/>
      <c r="BZ65" s="206">
        <f>14213+19969</f>
        <v>34182</v>
      </c>
      <c r="CA65" s="206">
        <f t="shared" si="40"/>
        <v>12182</v>
      </c>
      <c r="CB65" s="199">
        <f t="shared" si="72"/>
        <v>0.55372727272727273</v>
      </c>
      <c r="CC65" s="206">
        <v>34213</v>
      </c>
      <c r="CD65" s="206">
        <v>38963</v>
      </c>
      <c r="CE65" s="206"/>
      <c r="CF65" s="206">
        <v>34934</v>
      </c>
      <c r="CG65" s="206">
        <f t="shared" si="73"/>
        <v>752</v>
      </c>
      <c r="CH65" s="304">
        <f t="shared" si="74"/>
        <v>2.1999882979345856E-2</v>
      </c>
      <c r="CI65" s="206">
        <v>45963</v>
      </c>
      <c r="CJ65" s="206"/>
      <c r="CK65" s="206">
        <f t="shared" si="75"/>
        <v>45963</v>
      </c>
      <c r="CL65" s="206">
        <f t="shared" si="37"/>
        <v>11029</v>
      </c>
      <c r="CM65" s="608">
        <f t="shared" si="76"/>
        <v>0.31570962386214002</v>
      </c>
      <c r="CN65" s="206">
        <v>52078</v>
      </c>
      <c r="CO65" s="206">
        <f t="shared" si="38"/>
        <v>6115</v>
      </c>
      <c r="CP65" s="199">
        <f t="shared" si="39"/>
        <v>0.13304179448686987</v>
      </c>
      <c r="CQ65" s="66" t="s">
        <v>513</v>
      </c>
    </row>
    <row r="66" spans="1:95" s="148" customFormat="1" ht="18" customHeight="1" x14ac:dyDescent="0.25">
      <c r="A66" s="312" t="s">
        <v>181</v>
      </c>
      <c r="B66" s="416">
        <f>11253+12536</f>
        <v>23789</v>
      </c>
      <c r="C66" s="416">
        <f>12289+14196</f>
        <v>26485</v>
      </c>
      <c r="D66" s="416">
        <f t="shared" si="77"/>
        <v>2696</v>
      </c>
      <c r="E66" s="563">
        <f>(C66-B66)/B66</f>
        <v>0.11332969019294632</v>
      </c>
      <c r="F66" s="203">
        <f>8419+15527</f>
        <v>23946</v>
      </c>
      <c r="G66" s="203">
        <f t="shared" si="78"/>
        <v>-2539</v>
      </c>
      <c r="H66" s="362">
        <f>(F66-C66)/C66</f>
        <v>-9.5865584292996034E-2</v>
      </c>
      <c r="I66" s="203">
        <f>12795+20753</f>
        <v>33548</v>
      </c>
      <c r="J66" s="203">
        <f t="shared" si="79"/>
        <v>9602</v>
      </c>
      <c r="K66" s="362">
        <f>(I66-F66)/F66</f>
        <v>0.40098555082268439</v>
      </c>
      <c r="L66" s="203">
        <v>29873</v>
      </c>
      <c r="M66" s="203">
        <v>-3675</v>
      </c>
      <c r="N66" s="397">
        <v>-0.10954453320615237</v>
      </c>
      <c r="O66" s="203">
        <v>40290</v>
      </c>
      <c r="P66" s="203">
        <f t="shared" si="80"/>
        <v>10417</v>
      </c>
      <c r="Q66" s="397">
        <f t="shared" si="55"/>
        <v>0.34870953704013657</v>
      </c>
      <c r="R66" s="203">
        <v>48789</v>
      </c>
      <c r="S66" s="203">
        <f t="shared" si="56"/>
        <v>8499</v>
      </c>
      <c r="T66" s="397">
        <f t="shared" si="57"/>
        <v>0.21094564408041697</v>
      </c>
      <c r="U66" s="203">
        <v>70252</v>
      </c>
      <c r="V66" s="203">
        <f t="shared" si="81"/>
        <v>21463</v>
      </c>
      <c r="W66" s="397">
        <f t="shared" si="82"/>
        <v>0.43991473487876365</v>
      </c>
      <c r="X66" s="201">
        <v>111991</v>
      </c>
      <c r="Y66" s="203">
        <f t="shared" si="58"/>
        <v>41739</v>
      </c>
      <c r="Z66" s="484">
        <f t="shared" si="59"/>
        <v>0.59413255138643739</v>
      </c>
      <c r="AA66" s="203">
        <v>93251</v>
      </c>
      <c r="AB66" s="564">
        <f t="shared" si="60"/>
        <v>-18740</v>
      </c>
      <c r="AC66" s="485">
        <f t="shared" si="61"/>
        <v>-0.16733487512389389</v>
      </c>
      <c r="AD66" s="418">
        <v>57215</v>
      </c>
      <c r="AE66" s="418">
        <v>40771</v>
      </c>
      <c r="AF66" s="203">
        <v>78883</v>
      </c>
      <c r="AG66" s="203">
        <f t="shared" si="62"/>
        <v>-14368</v>
      </c>
      <c r="AH66" s="397">
        <f t="shared" si="63"/>
        <v>-0.15407877663510311</v>
      </c>
      <c r="AI66" s="418">
        <f>AF66-6</f>
        <v>78877</v>
      </c>
      <c r="AJ66" s="418">
        <f>AF66-6</f>
        <v>78877</v>
      </c>
      <c r="AK66" s="418">
        <v>33420</v>
      </c>
      <c r="AL66" s="148">
        <v>23420</v>
      </c>
      <c r="AM66" s="203">
        <f t="shared" si="64"/>
        <v>56840</v>
      </c>
      <c r="AN66" s="148">
        <v>37872</v>
      </c>
      <c r="AO66" s="148">
        <v>74366</v>
      </c>
      <c r="AP66" s="309">
        <v>8901</v>
      </c>
      <c r="AQ66" s="309">
        <v>737</v>
      </c>
      <c r="AR66" s="309">
        <f t="shared" si="83"/>
        <v>9638</v>
      </c>
      <c r="AS66" s="203">
        <f t="shared" si="84"/>
        <v>69549.239529999992</v>
      </c>
      <c r="AT66" s="418">
        <f t="shared" si="85"/>
        <v>-9333.7604700000084</v>
      </c>
      <c r="AU66" s="362">
        <f t="shared" si="86"/>
        <v>-0.1183241062079283</v>
      </c>
      <c r="AV66" s="418">
        <f t="shared" si="65"/>
        <v>-9333.7604700000084</v>
      </c>
      <c r="AW66" s="362">
        <f t="shared" si="66"/>
        <v>-0.1183241062079283</v>
      </c>
      <c r="AX66" s="203">
        <v>74405</v>
      </c>
      <c r="AY66" s="203">
        <f t="shared" si="27"/>
        <v>-4478</v>
      </c>
      <c r="AZ66" s="397">
        <f t="shared" si="28"/>
        <v>-5.6767617864432136E-2</v>
      </c>
      <c r="BA66" s="560">
        <f>38860.53801+36245.50726</f>
        <v>75106.045270000002</v>
      </c>
      <c r="BB66" s="560">
        <f>38147.82831+21763.41122</f>
        <v>59911.239529999999</v>
      </c>
      <c r="BC66" s="560">
        <f t="shared" si="87"/>
        <v>15194.805740000003</v>
      </c>
      <c r="BD66" s="304">
        <f t="shared" si="88"/>
        <v>0.20231135437068931</v>
      </c>
      <c r="BE66" s="203">
        <v>55885</v>
      </c>
      <c r="BF66" s="203">
        <f t="shared" si="67"/>
        <v>-18520</v>
      </c>
      <c r="BG66" s="397">
        <f t="shared" si="68"/>
        <v>-0.24890800349438882</v>
      </c>
      <c r="BH66" s="418">
        <v>5218</v>
      </c>
      <c r="BI66" s="418"/>
      <c r="BJ66" s="418"/>
      <c r="BK66" s="418">
        <v>75</v>
      </c>
      <c r="BL66" s="309">
        <f t="shared" si="31"/>
        <v>61178</v>
      </c>
      <c r="BM66" s="309">
        <f t="shared" si="69"/>
        <v>-8371.2395299999916</v>
      </c>
      <c r="BN66" s="309">
        <v>78332</v>
      </c>
      <c r="BO66" s="309">
        <v>78332</v>
      </c>
      <c r="BP66" s="206">
        <f t="shared" si="33"/>
        <v>22447</v>
      </c>
      <c r="BQ66" s="362">
        <f t="shared" si="70"/>
        <v>-0.12036421370774394</v>
      </c>
      <c r="BR66" s="205">
        <f t="shared" si="34"/>
        <v>0.40166413169902476</v>
      </c>
      <c r="BS66" s="309">
        <v>5167</v>
      </c>
      <c r="BV66" s="309">
        <v>23</v>
      </c>
      <c r="BW66" s="206">
        <f t="shared" si="71"/>
        <v>83522</v>
      </c>
      <c r="BX66" s="206">
        <v>78332</v>
      </c>
      <c r="BY66" s="206">
        <f>6104+4368</f>
        <v>10472</v>
      </c>
      <c r="BZ66" s="206">
        <v>60532</v>
      </c>
      <c r="CA66" s="206">
        <f t="shared" si="40"/>
        <v>4647</v>
      </c>
      <c r="CB66" s="199">
        <f t="shared" si="72"/>
        <v>8.3152903283528673E-2</v>
      </c>
      <c r="CC66" s="309">
        <v>95334</v>
      </c>
      <c r="CD66" s="309">
        <v>95780</v>
      </c>
      <c r="CE66" s="309"/>
      <c r="CF66" s="206">
        <v>67488</v>
      </c>
      <c r="CG66" s="206">
        <f t="shared" si="73"/>
        <v>6956</v>
      </c>
      <c r="CH66" s="304">
        <f t="shared" si="74"/>
        <v>0.11491442542787286</v>
      </c>
      <c r="CI66" s="309">
        <v>89272</v>
      </c>
      <c r="CJ66" s="309"/>
      <c r="CK66" s="309">
        <f t="shared" si="75"/>
        <v>89272</v>
      </c>
      <c r="CL66" s="206">
        <f t="shared" si="37"/>
        <v>21784</v>
      </c>
      <c r="CM66" s="608">
        <f t="shared" si="76"/>
        <v>0.3227833096254149</v>
      </c>
      <c r="CN66" s="309">
        <v>95172</v>
      </c>
      <c r="CO66" s="206">
        <f t="shared" si="38"/>
        <v>5900</v>
      </c>
      <c r="CP66" s="199">
        <f t="shared" si="39"/>
        <v>6.6090151447262296E-2</v>
      </c>
      <c r="CQ66" s="148" t="s">
        <v>513</v>
      </c>
    </row>
    <row r="67" spans="1:95" ht="18" customHeight="1" x14ac:dyDescent="0.25">
      <c r="A67" s="312" t="s">
        <v>182</v>
      </c>
      <c r="B67" s="416">
        <v>240</v>
      </c>
      <c r="C67" s="416">
        <v>240</v>
      </c>
      <c r="D67" s="416">
        <f t="shared" si="77"/>
        <v>0</v>
      </c>
      <c r="E67" s="563">
        <f>(C67-B67)/B67</f>
        <v>0</v>
      </c>
      <c r="F67" s="204">
        <v>243</v>
      </c>
      <c r="G67" s="204">
        <f t="shared" si="78"/>
        <v>3</v>
      </c>
      <c r="H67" s="199">
        <f>(F67-C67)/C67</f>
        <v>1.2500000000000001E-2</v>
      </c>
      <c r="I67" s="204">
        <v>260</v>
      </c>
      <c r="J67" s="204">
        <f t="shared" si="79"/>
        <v>17</v>
      </c>
      <c r="K67" s="199">
        <f>(I67-F67)/F67</f>
        <v>6.9958847736625515E-2</v>
      </c>
      <c r="L67" s="204">
        <v>74</v>
      </c>
      <c r="M67" s="204">
        <v>-186</v>
      </c>
      <c r="N67" s="304">
        <v>-0.7153846153846154</v>
      </c>
      <c r="O67" s="310">
        <v>0</v>
      </c>
      <c r="P67" s="204">
        <f t="shared" si="80"/>
        <v>-74</v>
      </c>
      <c r="Q67" s="304">
        <f t="shared" si="55"/>
        <v>-1</v>
      </c>
      <c r="R67" s="204">
        <v>0</v>
      </c>
      <c r="S67" s="204">
        <f t="shared" si="56"/>
        <v>0</v>
      </c>
      <c r="T67" s="394" t="s">
        <v>132</v>
      </c>
      <c r="U67" s="609">
        <v>0</v>
      </c>
      <c r="V67" s="204">
        <f t="shared" si="81"/>
        <v>0</v>
      </c>
      <c r="W67" s="394" t="s">
        <v>132</v>
      </c>
      <c r="Y67" s="204"/>
      <c r="AB67" s="374"/>
      <c r="AC67" s="394"/>
      <c r="AG67" s="204">
        <f t="shared" si="62"/>
        <v>0</v>
      </c>
      <c r="AH67" s="304" t="e">
        <f t="shared" si="63"/>
        <v>#DIV/0!</v>
      </c>
      <c r="AI67" s="66">
        <v>0</v>
      </c>
      <c r="AJ67" s="66">
        <v>0</v>
      </c>
      <c r="AK67" s="200"/>
      <c r="AM67" s="204"/>
      <c r="AO67" s="66">
        <v>0</v>
      </c>
      <c r="AP67" s="206">
        <v>0</v>
      </c>
      <c r="AQ67" s="206">
        <v>0</v>
      </c>
      <c r="AR67" s="206">
        <f t="shared" si="83"/>
        <v>0</v>
      </c>
      <c r="AS67" s="203">
        <f t="shared" si="84"/>
        <v>0</v>
      </c>
      <c r="AT67" s="200">
        <f t="shared" si="85"/>
        <v>0</v>
      </c>
      <c r="AU67" s="199" t="e">
        <f t="shared" si="86"/>
        <v>#DIV/0!</v>
      </c>
      <c r="AV67" s="200">
        <f t="shared" si="65"/>
        <v>0</v>
      </c>
      <c r="AW67" s="199" t="e">
        <f t="shared" si="66"/>
        <v>#DIV/0!</v>
      </c>
      <c r="AY67" s="204">
        <f t="shared" si="27"/>
        <v>0</v>
      </c>
      <c r="AZ67" s="304" t="e">
        <f t="shared" si="28"/>
        <v>#DIV/0!</v>
      </c>
      <c r="BC67" s="560">
        <f t="shared" si="87"/>
        <v>0</v>
      </c>
      <c r="BF67" s="204">
        <f t="shared" si="67"/>
        <v>0</v>
      </c>
      <c r="BG67" s="304" t="e">
        <f t="shared" si="68"/>
        <v>#DIV/0!</v>
      </c>
      <c r="BH67" s="200"/>
      <c r="BI67" s="200"/>
      <c r="BJ67" s="200"/>
      <c r="BK67" s="200"/>
      <c r="BL67" s="206">
        <f t="shared" si="31"/>
        <v>0</v>
      </c>
      <c r="BM67" s="206">
        <f t="shared" si="69"/>
        <v>0</v>
      </c>
      <c r="BN67" s="206"/>
      <c r="BO67" s="206">
        <v>0</v>
      </c>
      <c r="BP67" s="206">
        <f t="shared" si="33"/>
        <v>0</v>
      </c>
      <c r="BQ67" s="199" t="e">
        <f t="shared" si="70"/>
        <v>#DIV/0!</v>
      </c>
      <c r="BR67" s="205" t="e">
        <f t="shared" si="34"/>
        <v>#DIV/0!</v>
      </c>
      <c r="BV67" s="206"/>
      <c r="BW67" s="206">
        <f t="shared" si="71"/>
        <v>0</v>
      </c>
      <c r="BX67" s="206"/>
      <c r="BY67" s="206"/>
      <c r="BZ67" s="206">
        <f t="shared" ref="BZ67:BZ80" si="89">BX67+BY67</f>
        <v>0</v>
      </c>
      <c r="CA67" s="206">
        <f t="shared" si="40"/>
        <v>0</v>
      </c>
      <c r="CB67" s="199" t="e">
        <f t="shared" si="72"/>
        <v>#DIV/0!</v>
      </c>
      <c r="CC67" s="206"/>
      <c r="CD67" s="206"/>
      <c r="CE67" s="206"/>
      <c r="CF67" s="206">
        <f t="shared" ref="CF67:CF80" si="90">CD67+CE67</f>
        <v>0</v>
      </c>
      <c r="CG67" s="206">
        <f t="shared" si="73"/>
        <v>0</v>
      </c>
      <c r="CH67" s="304" t="e">
        <f t="shared" si="74"/>
        <v>#DIV/0!</v>
      </c>
      <c r="CI67" s="206"/>
      <c r="CJ67" s="206"/>
      <c r="CK67" s="206">
        <f t="shared" si="75"/>
        <v>0</v>
      </c>
      <c r="CL67" s="206">
        <f t="shared" si="37"/>
        <v>0</v>
      </c>
      <c r="CM67" s="608" t="e">
        <f t="shared" si="76"/>
        <v>#DIV/0!</v>
      </c>
      <c r="CN67" s="206">
        <v>0</v>
      </c>
      <c r="CO67" s="206">
        <f t="shared" si="38"/>
        <v>0</v>
      </c>
      <c r="CP67" s="199" t="e">
        <f t="shared" si="39"/>
        <v>#DIV/0!</v>
      </c>
    </row>
    <row r="68" spans="1:95" s="148" customFormat="1" ht="18" customHeight="1" x14ac:dyDescent="0.25">
      <c r="A68" s="312" t="s">
        <v>183</v>
      </c>
      <c r="B68" s="416">
        <v>255</v>
      </c>
      <c r="C68" s="416">
        <v>283</v>
      </c>
      <c r="D68" s="416">
        <f t="shared" si="77"/>
        <v>28</v>
      </c>
      <c r="E68" s="563">
        <f>(C68-B68)/B68</f>
        <v>0.10980392156862745</v>
      </c>
      <c r="F68" s="203">
        <v>274</v>
      </c>
      <c r="G68" s="203">
        <f t="shared" si="78"/>
        <v>-9</v>
      </c>
      <c r="H68" s="362">
        <f>(F68-C68)/C68</f>
        <v>-3.1802120141342753E-2</v>
      </c>
      <c r="I68" s="203">
        <v>281</v>
      </c>
      <c r="J68" s="203">
        <f t="shared" si="79"/>
        <v>7</v>
      </c>
      <c r="K68" s="362">
        <f>(I68-F68)/F68</f>
        <v>2.5547445255474453E-2</v>
      </c>
      <c r="L68" s="203">
        <v>336</v>
      </c>
      <c r="M68" s="203">
        <v>55</v>
      </c>
      <c r="N68" s="397">
        <v>0.19572953736654805</v>
      </c>
      <c r="O68" s="203">
        <v>337</v>
      </c>
      <c r="P68" s="203">
        <f t="shared" si="80"/>
        <v>1</v>
      </c>
      <c r="Q68" s="397">
        <f t="shared" si="55"/>
        <v>2.976190476190476E-3</v>
      </c>
      <c r="R68" s="203">
        <v>408</v>
      </c>
      <c r="S68" s="203">
        <f t="shared" si="56"/>
        <v>71</v>
      </c>
      <c r="T68" s="397">
        <f t="shared" si="57"/>
        <v>0.21068249258160238</v>
      </c>
      <c r="U68" s="610">
        <v>519</v>
      </c>
      <c r="V68" s="203">
        <f t="shared" si="81"/>
        <v>111</v>
      </c>
      <c r="W68" s="397">
        <f t="shared" si="82"/>
        <v>0.27205882352941174</v>
      </c>
      <c r="X68" s="201">
        <v>693</v>
      </c>
      <c r="Y68" s="203">
        <f>X68-U68</f>
        <v>174</v>
      </c>
      <c r="Z68" s="484">
        <f>Y68/U68</f>
        <v>0.33526011560693642</v>
      </c>
      <c r="AA68" s="203">
        <v>708</v>
      </c>
      <c r="AB68" s="564">
        <f>AA68-X68</f>
        <v>15</v>
      </c>
      <c r="AC68" s="485">
        <f>AB68/X68</f>
        <v>2.1645021645021644E-2</v>
      </c>
      <c r="AD68" s="418">
        <v>698</v>
      </c>
      <c r="AE68" s="418"/>
      <c r="AF68" s="203">
        <v>645</v>
      </c>
      <c r="AG68" s="203">
        <f t="shared" si="62"/>
        <v>-63</v>
      </c>
      <c r="AH68" s="397">
        <f t="shared" si="63"/>
        <v>-8.8983050847457626E-2</v>
      </c>
      <c r="AI68" s="418">
        <f>AF68</f>
        <v>645</v>
      </c>
      <c r="AJ68" s="418">
        <f>AF68</f>
        <v>645</v>
      </c>
      <c r="AK68" s="418">
        <v>716</v>
      </c>
      <c r="AM68" s="203">
        <f t="shared" si="64"/>
        <v>716</v>
      </c>
      <c r="AN68" s="148">
        <v>734</v>
      </c>
      <c r="AO68" s="148">
        <v>734</v>
      </c>
      <c r="AP68" s="309">
        <v>47</v>
      </c>
      <c r="AQ68" s="309">
        <v>0</v>
      </c>
      <c r="AR68" s="309">
        <f t="shared" si="83"/>
        <v>47</v>
      </c>
      <c r="AS68" s="203">
        <f t="shared" si="84"/>
        <v>1109.6933300000001</v>
      </c>
      <c r="AT68" s="418">
        <f t="shared" si="85"/>
        <v>464.69333000000006</v>
      </c>
      <c r="AU68" s="362">
        <f t="shared" si="86"/>
        <v>0.72045477519379852</v>
      </c>
      <c r="AV68" s="418">
        <f t="shared" si="65"/>
        <v>464.69333000000006</v>
      </c>
      <c r="AW68" s="362">
        <f t="shared" si="66"/>
        <v>0.72045477519379852</v>
      </c>
      <c r="AX68" s="203">
        <v>1254</v>
      </c>
      <c r="AY68" s="203">
        <f t="shared" si="27"/>
        <v>609</v>
      </c>
      <c r="AZ68" s="397">
        <f t="shared" si="28"/>
        <v>0.94418604651162785</v>
      </c>
      <c r="BA68" s="560">
        <v>1254.2058400000001</v>
      </c>
      <c r="BB68" s="560">
        <v>1062.6933300000001</v>
      </c>
      <c r="BC68" s="560">
        <f t="shared" si="87"/>
        <v>191.51251000000002</v>
      </c>
      <c r="BD68" s="304">
        <f t="shared" si="88"/>
        <v>0.1526962352527397</v>
      </c>
      <c r="BE68" s="203">
        <v>887</v>
      </c>
      <c r="BF68" s="203">
        <f t="shared" si="67"/>
        <v>-367</v>
      </c>
      <c r="BG68" s="397">
        <f t="shared" si="68"/>
        <v>-0.29266347687400318</v>
      </c>
      <c r="BH68" s="418">
        <v>37</v>
      </c>
      <c r="BI68" s="418"/>
      <c r="BJ68" s="418"/>
      <c r="BK68" s="418">
        <v>4</v>
      </c>
      <c r="BL68" s="309">
        <f t="shared" si="31"/>
        <v>928</v>
      </c>
      <c r="BM68" s="309">
        <f t="shared" si="69"/>
        <v>-181.69333000000006</v>
      </c>
      <c r="BN68" s="309">
        <v>1663</v>
      </c>
      <c r="BO68" s="309">
        <v>1663</v>
      </c>
      <c r="BP68" s="206">
        <f t="shared" si="33"/>
        <v>776</v>
      </c>
      <c r="BQ68" s="362">
        <f t="shared" si="70"/>
        <v>-0.16373292069800946</v>
      </c>
      <c r="BR68" s="205">
        <f t="shared" si="34"/>
        <v>0.87485907553551301</v>
      </c>
      <c r="BS68" s="309">
        <v>69</v>
      </c>
      <c r="BV68" s="309">
        <v>0</v>
      </c>
      <c r="BW68" s="206">
        <f t="shared" si="71"/>
        <v>1732</v>
      </c>
      <c r="BX68" s="206">
        <v>1663</v>
      </c>
      <c r="BY68" s="206"/>
      <c r="BZ68" s="206">
        <v>1256</v>
      </c>
      <c r="CA68" s="206">
        <f t="shared" si="40"/>
        <v>369</v>
      </c>
      <c r="CB68" s="199">
        <f t="shared" si="72"/>
        <v>0.41600901916572719</v>
      </c>
      <c r="CC68" s="309">
        <v>1684</v>
      </c>
      <c r="CD68" s="309">
        <v>1684</v>
      </c>
      <c r="CE68" s="309"/>
      <c r="CF68" s="206">
        <v>1423</v>
      </c>
      <c r="CG68" s="206">
        <f t="shared" si="73"/>
        <v>167</v>
      </c>
      <c r="CH68" s="304">
        <f t="shared" si="74"/>
        <v>0.13296178343949044</v>
      </c>
      <c r="CI68" s="309">
        <v>1749</v>
      </c>
      <c r="CJ68" s="309"/>
      <c r="CK68" s="309">
        <f t="shared" si="75"/>
        <v>1749</v>
      </c>
      <c r="CL68" s="206">
        <f t="shared" si="37"/>
        <v>326</v>
      </c>
      <c r="CM68" s="608">
        <f t="shared" si="76"/>
        <v>0.22909346451159524</v>
      </c>
      <c r="CN68" s="309">
        <v>1636</v>
      </c>
      <c r="CO68" s="206">
        <f t="shared" si="38"/>
        <v>-113</v>
      </c>
      <c r="CP68" s="199">
        <f t="shared" si="39"/>
        <v>-6.4608347627215554E-2</v>
      </c>
    </row>
    <row r="69" spans="1:95" s="148" customFormat="1" ht="18" customHeight="1" x14ac:dyDescent="0.25">
      <c r="A69" s="68" t="s">
        <v>184</v>
      </c>
      <c r="B69" s="416">
        <f>25172+1127</f>
        <v>26299</v>
      </c>
      <c r="C69" s="416">
        <f>23865+1138</f>
        <v>25003</v>
      </c>
      <c r="D69" s="416">
        <f t="shared" si="77"/>
        <v>-1296</v>
      </c>
      <c r="E69" s="563">
        <f>(C69-B69)/B69</f>
        <v>-4.9279440282900489E-2</v>
      </c>
      <c r="F69" s="423">
        <f>25662+1483</f>
        <v>27145</v>
      </c>
      <c r="G69" s="203">
        <f t="shared" si="78"/>
        <v>2142</v>
      </c>
      <c r="H69" s="362">
        <f>(F69-C69)/C69</f>
        <v>8.5669719633643962E-2</v>
      </c>
      <c r="I69" s="423">
        <f>24031+5674</f>
        <v>29705</v>
      </c>
      <c r="J69" s="203">
        <f t="shared" si="79"/>
        <v>2560</v>
      </c>
      <c r="K69" s="362">
        <f>(I69-F69)/F69</f>
        <v>9.4308344078099099E-2</v>
      </c>
      <c r="L69" s="423">
        <v>30756</v>
      </c>
      <c r="M69" s="203">
        <v>1051</v>
      </c>
      <c r="N69" s="397">
        <v>3.5381248947988553E-2</v>
      </c>
      <c r="O69" s="423">
        <v>34942</v>
      </c>
      <c r="P69" s="423">
        <f t="shared" si="80"/>
        <v>4186</v>
      </c>
      <c r="Q69" s="397">
        <f t="shared" si="55"/>
        <v>0.1361035245155417</v>
      </c>
      <c r="R69" s="203">
        <v>41516</v>
      </c>
      <c r="S69" s="203">
        <f t="shared" si="56"/>
        <v>6574</v>
      </c>
      <c r="T69" s="397">
        <f t="shared" si="57"/>
        <v>0.1881403468605117</v>
      </c>
      <c r="U69" s="610">
        <v>41690</v>
      </c>
      <c r="V69" s="203">
        <f t="shared" si="81"/>
        <v>174</v>
      </c>
      <c r="W69" s="397">
        <f t="shared" si="82"/>
        <v>4.1911552172656328E-3</v>
      </c>
      <c r="X69" s="201">
        <v>37395</v>
      </c>
      <c r="Y69" s="203">
        <f>X69-U69</f>
        <v>-4295</v>
      </c>
      <c r="Z69" s="484">
        <f>Y69/U69</f>
        <v>-0.10302230750779563</v>
      </c>
      <c r="AA69" s="203">
        <v>36938</v>
      </c>
      <c r="AB69" s="564">
        <f>AA69-X69</f>
        <v>-457</v>
      </c>
      <c r="AC69" s="485">
        <f>AB69/X69</f>
        <v>-1.2220885145072871E-2</v>
      </c>
      <c r="AD69" s="418">
        <v>13258</v>
      </c>
      <c r="AE69" s="418">
        <v>21875</v>
      </c>
      <c r="AF69" s="203">
        <v>32251</v>
      </c>
      <c r="AG69" s="203">
        <f t="shared" si="62"/>
        <v>-4687</v>
      </c>
      <c r="AH69" s="397">
        <f t="shared" si="63"/>
        <v>-0.12688829931236126</v>
      </c>
      <c r="AI69" s="418">
        <f>AF69+1278</f>
        <v>33529</v>
      </c>
      <c r="AJ69" s="418">
        <f>AF69-681</f>
        <v>31570</v>
      </c>
      <c r="AK69" s="418">
        <v>13821</v>
      </c>
      <c r="AM69" s="203">
        <f t="shared" si="64"/>
        <v>13821</v>
      </c>
      <c r="AN69" s="148">
        <v>8061</v>
      </c>
      <c r="AO69" s="148">
        <v>25592</v>
      </c>
      <c r="AP69" s="309">
        <v>6036</v>
      </c>
      <c r="AQ69" s="309">
        <v>402</v>
      </c>
      <c r="AR69" s="309">
        <f t="shared" si="83"/>
        <v>6438</v>
      </c>
      <c r="AS69" s="203">
        <f t="shared" si="84"/>
        <v>28136.326290000001</v>
      </c>
      <c r="AT69" s="418">
        <f t="shared" si="85"/>
        <v>-4114.6737099999991</v>
      </c>
      <c r="AU69" s="362">
        <f t="shared" si="86"/>
        <v>-0.12758282564881707</v>
      </c>
      <c r="AV69" s="418">
        <f t="shared" si="65"/>
        <v>-4114.6737099999991</v>
      </c>
      <c r="AW69" s="362">
        <f t="shared" si="66"/>
        <v>-0.12758282564881707</v>
      </c>
      <c r="AX69" s="203">
        <f>24715</f>
        <v>24715</v>
      </c>
      <c r="AY69" s="203">
        <f t="shared" si="27"/>
        <v>-7536</v>
      </c>
      <c r="AZ69" s="397">
        <f t="shared" si="28"/>
        <v>-0.23366717311091129</v>
      </c>
      <c r="BA69" s="560">
        <f>7871.09065+16243.401</f>
        <v>24114.49165</v>
      </c>
      <c r="BB69" s="560">
        <f>7624.17191+14074.15438</f>
        <v>21698.326290000001</v>
      </c>
      <c r="BC69" s="560">
        <f t="shared" si="87"/>
        <v>2416.1653599999991</v>
      </c>
      <c r="BD69" s="304">
        <f t="shared" si="88"/>
        <v>0.10019557513666265</v>
      </c>
      <c r="BE69" s="203">
        <v>24507</v>
      </c>
      <c r="BF69" s="203">
        <f t="shared" si="67"/>
        <v>-208</v>
      </c>
      <c r="BG69" s="397">
        <f t="shared" si="68"/>
        <v>-8.4159417357879823E-3</v>
      </c>
      <c r="BH69" s="418">
        <v>6492</v>
      </c>
      <c r="BI69" s="418"/>
      <c r="BJ69" s="418"/>
      <c r="BK69" s="418">
        <v>543</v>
      </c>
      <c r="BL69" s="309">
        <f t="shared" si="31"/>
        <v>31542</v>
      </c>
      <c r="BM69" s="309">
        <f t="shared" si="69"/>
        <v>3405.6737099999991</v>
      </c>
      <c r="BN69" s="309">
        <v>33149</v>
      </c>
      <c r="BO69" s="309">
        <v>32952</v>
      </c>
      <c r="BP69" s="206">
        <f t="shared" si="33"/>
        <v>8445</v>
      </c>
      <c r="BQ69" s="362">
        <f t="shared" si="70"/>
        <v>0.12104187571958951</v>
      </c>
      <c r="BR69" s="205">
        <f t="shared" si="34"/>
        <v>0.34459542171624435</v>
      </c>
      <c r="BS69" s="309">
        <v>6693</v>
      </c>
      <c r="BV69" s="309">
        <v>249</v>
      </c>
      <c r="BW69" s="206">
        <f t="shared" si="71"/>
        <v>40091</v>
      </c>
      <c r="BX69" s="206">
        <v>32952</v>
      </c>
      <c r="BY69" s="206"/>
      <c r="BZ69" s="206">
        <v>30271</v>
      </c>
      <c r="CA69" s="206">
        <f t="shared" si="40"/>
        <v>5764</v>
      </c>
      <c r="CB69" s="199">
        <f t="shared" si="72"/>
        <v>0.2351981066634023</v>
      </c>
      <c r="CC69" s="309">
        <v>41159</v>
      </c>
      <c r="CD69" s="309">
        <v>39476</v>
      </c>
      <c r="CE69" s="309"/>
      <c r="CF69" s="206">
        <v>34890</v>
      </c>
      <c r="CG69" s="206">
        <f t="shared" si="73"/>
        <v>4619</v>
      </c>
      <c r="CH69" s="304">
        <f t="shared" si="74"/>
        <v>0.15258828581810974</v>
      </c>
      <c r="CI69" s="309">
        <v>47701</v>
      </c>
      <c r="CJ69" s="309"/>
      <c r="CK69" s="309">
        <f t="shared" si="75"/>
        <v>47701</v>
      </c>
      <c r="CL69" s="206">
        <f t="shared" si="37"/>
        <v>12811</v>
      </c>
      <c r="CM69" s="608">
        <f t="shared" si="76"/>
        <v>0.36718257380338204</v>
      </c>
      <c r="CN69" s="309">
        <v>43764</v>
      </c>
      <c r="CO69" s="206">
        <f t="shared" si="38"/>
        <v>-3937</v>
      </c>
      <c r="CP69" s="199">
        <f t="shared" si="39"/>
        <v>-8.2534957338420575E-2</v>
      </c>
    </row>
    <row r="70" spans="1:95" ht="18" customHeight="1" x14ac:dyDescent="0.25">
      <c r="A70" s="68" t="s">
        <v>185</v>
      </c>
      <c r="B70" s="310" t="s">
        <v>132</v>
      </c>
      <c r="C70" s="310" t="s">
        <v>132</v>
      </c>
      <c r="D70" s="310" t="s">
        <v>132</v>
      </c>
      <c r="E70" s="310" t="s">
        <v>132</v>
      </c>
      <c r="F70" s="310" t="s">
        <v>132</v>
      </c>
      <c r="G70" s="310" t="s">
        <v>132</v>
      </c>
      <c r="H70" s="310" t="s">
        <v>132</v>
      </c>
      <c r="I70" s="310" t="s">
        <v>132</v>
      </c>
      <c r="J70" s="310" t="s">
        <v>132</v>
      </c>
      <c r="K70" s="310" t="s">
        <v>132</v>
      </c>
      <c r="L70" s="315">
        <v>0</v>
      </c>
      <c r="M70" s="204">
        <v>0</v>
      </c>
      <c r="N70" s="394" t="s">
        <v>132</v>
      </c>
      <c r="O70" s="315">
        <v>0</v>
      </c>
      <c r="P70" s="315">
        <f t="shared" si="80"/>
        <v>0</v>
      </c>
      <c r="Q70" s="394" t="s">
        <v>132</v>
      </c>
      <c r="R70" s="204">
        <v>0</v>
      </c>
      <c r="S70" s="204">
        <f t="shared" si="56"/>
        <v>0</v>
      </c>
      <c r="T70" s="394" t="s">
        <v>132</v>
      </c>
      <c r="U70" s="611">
        <v>0</v>
      </c>
      <c r="V70" s="204">
        <f t="shared" si="81"/>
        <v>0</v>
      </c>
      <c r="W70" s="394" t="s">
        <v>132</v>
      </c>
      <c r="X70" s="201">
        <v>1523</v>
      </c>
      <c r="Y70" s="204">
        <f>X70-U70</f>
        <v>1523</v>
      </c>
      <c r="AA70" s="203">
        <v>2530</v>
      </c>
      <c r="AB70" s="374">
        <f>AA70-X70</f>
        <v>1007</v>
      </c>
      <c r="AC70" s="205">
        <f>AB70/X70</f>
        <v>0.66119500984898227</v>
      </c>
      <c r="AD70" s="200">
        <v>560</v>
      </c>
      <c r="AE70" s="200">
        <v>3007</v>
      </c>
      <c r="AF70" s="204">
        <v>2319</v>
      </c>
      <c r="AG70" s="204">
        <f t="shared" si="62"/>
        <v>-211</v>
      </c>
      <c r="AH70" s="304">
        <f t="shared" si="63"/>
        <v>-8.3399209486166012E-2</v>
      </c>
      <c r="AI70" s="200">
        <f>AF70</f>
        <v>2319</v>
      </c>
      <c r="AJ70" s="200">
        <f>AF70-793</f>
        <v>1526</v>
      </c>
      <c r="AK70" s="200">
        <v>815</v>
      </c>
      <c r="AM70" s="204">
        <f t="shared" si="64"/>
        <v>815</v>
      </c>
      <c r="AN70" s="66">
        <v>0</v>
      </c>
      <c r="AO70" s="66">
        <v>1570</v>
      </c>
      <c r="AP70" s="206">
        <v>0</v>
      </c>
      <c r="AQ70" s="206">
        <v>0</v>
      </c>
      <c r="AR70" s="206">
        <f t="shared" si="83"/>
        <v>0</v>
      </c>
      <c r="AS70" s="203">
        <f t="shared" si="84"/>
        <v>1755.4464200000002</v>
      </c>
      <c r="AT70" s="200">
        <f t="shared" si="85"/>
        <v>-563.55357999999978</v>
      </c>
      <c r="AU70" s="199">
        <f t="shared" si="86"/>
        <v>-0.24301577404053462</v>
      </c>
      <c r="AV70" s="200">
        <f t="shared" si="65"/>
        <v>-563.55357999999978</v>
      </c>
      <c r="AW70" s="199">
        <f t="shared" si="66"/>
        <v>-0.24301577404053462</v>
      </c>
      <c r="AX70" s="204">
        <v>1816</v>
      </c>
      <c r="AY70" s="204">
        <f t="shared" si="27"/>
        <v>-503</v>
      </c>
      <c r="AZ70" s="304">
        <f t="shared" si="28"/>
        <v>-0.21690383786114706</v>
      </c>
      <c r="BA70" s="560">
        <f>645.16693+1231.02768</f>
        <v>1876.19461</v>
      </c>
      <c r="BB70" s="560">
        <f>560.40051+1195.04591</f>
        <v>1755.4464200000002</v>
      </c>
      <c r="BC70" s="560">
        <f t="shared" si="87"/>
        <v>120.74818999999979</v>
      </c>
      <c r="BD70" s="304">
        <f t="shared" si="88"/>
        <v>6.4358030535009256E-2</v>
      </c>
      <c r="BE70" s="204">
        <v>1949</v>
      </c>
      <c r="BF70" s="204">
        <f t="shared" si="67"/>
        <v>133</v>
      </c>
      <c r="BG70" s="304">
        <f t="shared" si="68"/>
        <v>7.3237885462555066E-2</v>
      </c>
      <c r="BH70" s="200"/>
      <c r="BI70" s="200"/>
      <c r="BJ70" s="200"/>
      <c r="BK70" s="200">
        <v>26</v>
      </c>
      <c r="BL70" s="206">
        <f t="shared" si="31"/>
        <v>1975</v>
      </c>
      <c r="BM70" s="206">
        <f t="shared" si="69"/>
        <v>219.55357999999978</v>
      </c>
      <c r="BN70" s="206">
        <v>1961</v>
      </c>
      <c r="BO70" s="206">
        <v>2064</v>
      </c>
      <c r="BP70" s="206">
        <f t="shared" si="33"/>
        <v>115</v>
      </c>
      <c r="BQ70" s="199">
        <f t="shared" si="70"/>
        <v>0.12506994089856627</v>
      </c>
      <c r="BR70" s="205">
        <f t="shared" si="34"/>
        <v>5.9004617752693687E-2</v>
      </c>
      <c r="BS70" s="206">
        <v>155</v>
      </c>
      <c r="BV70" s="206">
        <v>0</v>
      </c>
      <c r="BW70" s="206">
        <f t="shared" si="71"/>
        <v>2116</v>
      </c>
      <c r="BX70" s="206">
        <v>2064</v>
      </c>
      <c r="BY70" s="206"/>
      <c r="BZ70" s="206">
        <v>2022</v>
      </c>
      <c r="CA70" s="206">
        <f t="shared" si="40"/>
        <v>73</v>
      </c>
      <c r="CB70" s="199">
        <f t="shared" si="72"/>
        <v>3.7455105182144691E-2</v>
      </c>
      <c r="CC70" s="206">
        <v>2132</v>
      </c>
      <c r="CD70" s="206">
        <v>2132</v>
      </c>
      <c r="CE70" s="206"/>
      <c r="CF70" s="206">
        <v>2266</v>
      </c>
      <c r="CG70" s="206">
        <f t="shared" si="73"/>
        <v>244</v>
      </c>
      <c r="CH70" s="304">
        <f t="shared" si="74"/>
        <v>0.12067260138476756</v>
      </c>
      <c r="CI70" s="206">
        <v>2488</v>
      </c>
      <c r="CJ70" s="206"/>
      <c r="CK70" s="206">
        <f t="shared" si="75"/>
        <v>2488</v>
      </c>
      <c r="CL70" s="206">
        <f t="shared" si="37"/>
        <v>222</v>
      </c>
      <c r="CM70" s="608">
        <f t="shared" si="76"/>
        <v>9.7969991173874671E-2</v>
      </c>
      <c r="CN70" s="206">
        <v>2585</v>
      </c>
      <c r="CO70" s="206">
        <f t="shared" si="38"/>
        <v>97</v>
      </c>
      <c r="CP70" s="199">
        <f t="shared" si="39"/>
        <v>3.8987138263665594E-2</v>
      </c>
    </row>
    <row r="71" spans="1:95" s="148" customFormat="1" ht="18" customHeight="1" x14ac:dyDescent="0.25">
      <c r="A71" s="68" t="s">
        <v>186</v>
      </c>
      <c r="B71" s="567" t="s">
        <v>132</v>
      </c>
      <c r="C71" s="567" t="s">
        <v>132</v>
      </c>
      <c r="D71" s="567" t="s">
        <v>132</v>
      </c>
      <c r="E71" s="567" t="s">
        <v>132</v>
      </c>
      <c r="F71" s="423">
        <v>1736</v>
      </c>
      <c r="G71" s="567" t="s">
        <v>132</v>
      </c>
      <c r="H71" s="567" t="s">
        <v>132</v>
      </c>
      <c r="I71" s="423">
        <v>1691</v>
      </c>
      <c r="J71" s="203">
        <f t="shared" si="79"/>
        <v>-45</v>
      </c>
      <c r="K71" s="362">
        <f>(I71-F71)/F71</f>
        <v>-2.5921658986175114E-2</v>
      </c>
      <c r="L71" s="423">
        <v>2358</v>
      </c>
      <c r="M71" s="203">
        <v>357</v>
      </c>
      <c r="N71" s="397">
        <v>3.8185902235533212E-2</v>
      </c>
      <c r="O71" s="423">
        <v>4135</v>
      </c>
      <c r="P71" s="423">
        <f t="shared" ref="P71:P82" si="91">O71-L71</f>
        <v>1777</v>
      </c>
      <c r="Q71" s="397">
        <f t="shared" si="55"/>
        <v>0.75360474978795589</v>
      </c>
      <c r="R71" s="423">
        <v>8595</v>
      </c>
      <c r="S71" s="423">
        <f t="shared" si="56"/>
        <v>4460</v>
      </c>
      <c r="T71" s="397">
        <f t="shared" si="57"/>
        <v>1.0785973397823458</v>
      </c>
      <c r="U71" s="610">
        <v>10032</v>
      </c>
      <c r="V71" s="203">
        <f t="shared" si="81"/>
        <v>1437</v>
      </c>
      <c r="W71" s="397">
        <f t="shared" si="82"/>
        <v>0.16719022687609075</v>
      </c>
      <c r="X71" s="201">
        <v>9902</v>
      </c>
      <c r="Y71" s="203">
        <f>X71-U71</f>
        <v>-130</v>
      </c>
      <c r="Z71" s="484">
        <f>Y71/U71</f>
        <v>-1.2958532695374801E-2</v>
      </c>
      <c r="AA71" s="203">
        <v>13627</v>
      </c>
      <c r="AB71" s="564">
        <f>AA71-X71</f>
        <v>3725</v>
      </c>
      <c r="AC71" s="485">
        <f>AB71/X71</f>
        <v>0.37618662896384569</v>
      </c>
      <c r="AD71" s="418">
        <v>5434</v>
      </c>
      <c r="AE71" s="418">
        <v>400</v>
      </c>
      <c r="AF71" s="203">
        <v>5211</v>
      </c>
      <c r="AG71" s="203">
        <f t="shared" si="62"/>
        <v>-8416</v>
      </c>
      <c r="AH71" s="397">
        <f t="shared" si="63"/>
        <v>-0.61759741689293313</v>
      </c>
      <c r="AI71" s="418">
        <f>AF71-44</f>
        <v>5167</v>
      </c>
      <c r="AJ71" s="418">
        <f>AF71-44</f>
        <v>5167</v>
      </c>
      <c r="AK71" s="418">
        <v>3485</v>
      </c>
      <c r="AL71" s="148">
        <v>2000</v>
      </c>
      <c r="AM71" s="203">
        <f t="shared" si="64"/>
        <v>5485</v>
      </c>
      <c r="AN71" s="148">
        <v>4940</v>
      </c>
      <c r="AO71" s="148">
        <v>5111</v>
      </c>
      <c r="AP71" s="309">
        <v>210</v>
      </c>
      <c r="AQ71" s="309">
        <v>3</v>
      </c>
      <c r="AR71" s="309">
        <f t="shared" si="83"/>
        <v>213</v>
      </c>
      <c r="AS71" s="203">
        <f t="shared" si="84"/>
        <v>4936.61481</v>
      </c>
      <c r="AT71" s="418">
        <f t="shared" si="85"/>
        <v>-274.38518999999997</v>
      </c>
      <c r="AU71" s="362">
        <f t="shared" si="86"/>
        <v>-5.2654997121473798E-2</v>
      </c>
      <c r="AV71" s="418">
        <f t="shared" si="65"/>
        <v>-274.38518999999997</v>
      </c>
      <c r="AW71" s="362">
        <f t="shared" si="66"/>
        <v>-5.2654997121473798E-2</v>
      </c>
      <c r="AX71" s="203">
        <f>4532</f>
        <v>4532</v>
      </c>
      <c r="AY71" s="203">
        <f t="shared" si="27"/>
        <v>-679</v>
      </c>
      <c r="AZ71" s="397">
        <f t="shared" si="28"/>
        <v>-0.13030128574170025</v>
      </c>
      <c r="BA71" s="560">
        <f>4361.981+645.85</f>
        <v>5007.8310000000001</v>
      </c>
      <c r="BB71" s="560">
        <f>4182.07981+541.535</f>
        <v>4723.61481</v>
      </c>
      <c r="BC71" s="560">
        <f t="shared" si="87"/>
        <v>284.2161900000001</v>
      </c>
      <c r="BD71" s="304">
        <f t="shared" si="88"/>
        <v>5.6754349338066737E-2</v>
      </c>
      <c r="BE71" s="203">
        <v>3927</v>
      </c>
      <c r="BF71" s="203">
        <f t="shared" si="67"/>
        <v>-605</v>
      </c>
      <c r="BG71" s="397">
        <f t="shared" si="68"/>
        <v>-0.13349514563106796</v>
      </c>
      <c r="BH71" s="418">
        <v>403</v>
      </c>
      <c r="BI71" s="418"/>
      <c r="BJ71" s="418"/>
      <c r="BK71" s="418">
        <v>32</v>
      </c>
      <c r="BL71" s="309">
        <f t="shared" si="31"/>
        <v>4362</v>
      </c>
      <c r="BM71" s="309">
        <f t="shared" si="69"/>
        <v>-574.61481000000003</v>
      </c>
      <c r="BN71" s="309">
        <v>4390</v>
      </c>
      <c r="BO71" s="309">
        <v>11190</v>
      </c>
      <c r="BP71" s="206">
        <f t="shared" si="33"/>
        <v>7263</v>
      </c>
      <c r="BQ71" s="362">
        <f t="shared" si="70"/>
        <v>-0.11639855085229954</v>
      </c>
      <c r="BR71" s="205">
        <f t="shared" si="34"/>
        <v>1.8495034377387318</v>
      </c>
      <c r="BS71" s="309">
        <v>833</v>
      </c>
      <c r="BV71" s="309">
        <v>0</v>
      </c>
      <c r="BW71" s="206">
        <f t="shared" si="71"/>
        <v>5223</v>
      </c>
      <c r="BX71" s="206">
        <v>11190</v>
      </c>
      <c r="BY71" s="206"/>
      <c r="BZ71" s="206">
        <v>11144</v>
      </c>
      <c r="CA71" s="206">
        <f t="shared" si="40"/>
        <v>7217</v>
      </c>
      <c r="CB71" s="199">
        <f t="shared" si="72"/>
        <v>1.8377896613190732</v>
      </c>
      <c r="CC71" s="309">
        <v>5257</v>
      </c>
      <c r="CD71" s="309">
        <v>11007</v>
      </c>
      <c r="CE71" s="309"/>
      <c r="CF71" s="206">
        <v>14935</v>
      </c>
      <c r="CG71" s="206">
        <f t="shared" si="73"/>
        <v>3791</v>
      </c>
      <c r="CH71" s="304">
        <f t="shared" si="74"/>
        <v>0.34018305814788224</v>
      </c>
      <c r="CI71" s="309">
        <v>15803</v>
      </c>
      <c r="CJ71" s="309">
        <v>-1500</v>
      </c>
      <c r="CK71" s="309">
        <f t="shared" si="75"/>
        <v>14303</v>
      </c>
      <c r="CL71" s="206">
        <f t="shared" si="37"/>
        <v>-632</v>
      </c>
      <c r="CM71" s="608">
        <f t="shared" si="76"/>
        <v>-4.2316705724807502E-2</v>
      </c>
      <c r="CN71" s="309">
        <v>15196</v>
      </c>
      <c r="CO71" s="206">
        <f t="shared" si="38"/>
        <v>893</v>
      </c>
      <c r="CP71" s="199">
        <f t="shared" si="39"/>
        <v>6.2434454310284555E-2</v>
      </c>
    </row>
    <row r="72" spans="1:95" ht="18" customHeight="1" x14ac:dyDescent="0.25">
      <c r="A72" s="317" t="s">
        <v>187</v>
      </c>
      <c r="B72" s="416">
        <v>0</v>
      </c>
      <c r="C72" s="416">
        <v>0</v>
      </c>
      <c r="D72" s="416">
        <f t="shared" si="77"/>
        <v>0</v>
      </c>
      <c r="E72" s="310" t="s">
        <v>132</v>
      </c>
      <c r="F72" s="310">
        <v>1976</v>
      </c>
      <c r="G72" s="204">
        <f t="shared" si="78"/>
        <v>1976</v>
      </c>
      <c r="H72" s="310" t="s">
        <v>132</v>
      </c>
      <c r="I72" s="310">
        <v>2605</v>
      </c>
      <c r="J72" s="204">
        <f t="shared" si="79"/>
        <v>629</v>
      </c>
      <c r="K72" s="199">
        <f>(I72-F72)/F72</f>
        <v>0.31831983805668018</v>
      </c>
      <c r="L72" s="315">
        <v>2995</v>
      </c>
      <c r="M72" s="204">
        <v>390</v>
      </c>
      <c r="N72" s="304">
        <v>0.14971209213051823</v>
      </c>
      <c r="O72" s="315">
        <v>3105</v>
      </c>
      <c r="P72" s="315">
        <f t="shared" si="91"/>
        <v>110</v>
      </c>
      <c r="Q72" s="304">
        <f t="shared" si="55"/>
        <v>3.6727879799666109E-2</v>
      </c>
      <c r="R72" s="315">
        <v>3158</v>
      </c>
      <c r="S72" s="315">
        <f t="shared" si="56"/>
        <v>53</v>
      </c>
      <c r="T72" s="304">
        <f t="shared" si="57"/>
        <v>1.7069243156199679E-2</v>
      </c>
      <c r="U72" s="611">
        <v>3523</v>
      </c>
      <c r="V72" s="204">
        <f t="shared" si="81"/>
        <v>365</v>
      </c>
      <c r="W72" s="304">
        <f t="shared" si="82"/>
        <v>0.11557948068397721</v>
      </c>
      <c r="X72" s="201">
        <v>5276</v>
      </c>
      <c r="Y72" s="204">
        <f>X72-U72</f>
        <v>1753</v>
      </c>
      <c r="Z72" s="484">
        <f>Y72/U72</f>
        <v>0.49758728356514337</v>
      </c>
      <c r="AA72" s="203">
        <v>6441</v>
      </c>
      <c r="AB72" s="374">
        <f>AA72-X72</f>
        <v>1165</v>
      </c>
      <c r="AC72" s="205">
        <f>AB72/X72</f>
        <v>0.2208112206216831</v>
      </c>
      <c r="AD72" s="200">
        <v>400</v>
      </c>
      <c r="AE72" s="200">
        <v>5486</v>
      </c>
      <c r="AF72" s="204">
        <v>5251</v>
      </c>
      <c r="AG72" s="204">
        <f t="shared" si="62"/>
        <v>-1190</v>
      </c>
      <c r="AH72" s="304">
        <f t="shared" si="63"/>
        <v>-0.18475392019872691</v>
      </c>
      <c r="AI72" s="200">
        <f>AF72</f>
        <v>5251</v>
      </c>
      <c r="AJ72" s="200">
        <f>AF72-232</f>
        <v>5019</v>
      </c>
      <c r="AK72" s="200">
        <v>409</v>
      </c>
      <c r="AM72" s="204">
        <f t="shared" si="64"/>
        <v>409</v>
      </c>
      <c r="AN72" s="66">
        <v>400</v>
      </c>
      <c r="AO72" s="66">
        <v>5194</v>
      </c>
      <c r="AP72" s="206">
        <v>0</v>
      </c>
      <c r="AQ72" s="206">
        <v>0</v>
      </c>
      <c r="AR72" s="206">
        <f t="shared" si="83"/>
        <v>0</v>
      </c>
      <c r="AS72" s="203">
        <f t="shared" si="84"/>
        <v>4525.5811000000003</v>
      </c>
      <c r="AT72" s="200">
        <f t="shared" si="85"/>
        <v>-725.41889999999967</v>
      </c>
      <c r="AU72" s="199">
        <f t="shared" si="86"/>
        <v>-0.13814871453056554</v>
      </c>
      <c r="AV72" s="200">
        <f t="shared" si="65"/>
        <v>-725.41889999999967</v>
      </c>
      <c r="AW72" s="199">
        <f t="shared" si="66"/>
        <v>-0.13814871453056554</v>
      </c>
      <c r="AX72" s="204">
        <v>4843</v>
      </c>
      <c r="AY72" s="204">
        <f t="shared" si="27"/>
        <v>-408</v>
      </c>
      <c r="AZ72" s="304">
        <f t="shared" si="28"/>
        <v>-7.7699485812226243E-2</v>
      </c>
      <c r="BA72" s="560">
        <v>4842.7169199999998</v>
      </c>
      <c r="BB72" s="560">
        <v>4525.5811000000003</v>
      </c>
      <c r="BC72" s="560">
        <f t="shared" si="87"/>
        <v>317.13581999999951</v>
      </c>
      <c r="BD72" s="304">
        <f t="shared" si="88"/>
        <v>6.5487168719331121E-2</v>
      </c>
      <c r="BE72" s="204">
        <v>4887</v>
      </c>
      <c r="BF72" s="204">
        <f t="shared" si="67"/>
        <v>44</v>
      </c>
      <c r="BG72" s="304">
        <f t="shared" si="68"/>
        <v>9.0852777204212271E-3</v>
      </c>
      <c r="BH72" s="200"/>
      <c r="BI72" s="200"/>
      <c r="BJ72" s="200"/>
      <c r="BK72" s="200"/>
      <c r="BL72" s="206">
        <f t="shared" si="31"/>
        <v>4887</v>
      </c>
      <c r="BM72" s="206">
        <f t="shared" si="69"/>
        <v>361.41889999999967</v>
      </c>
      <c r="BN72" s="206">
        <v>6835</v>
      </c>
      <c r="BO72" s="206">
        <v>6835</v>
      </c>
      <c r="BP72" s="206">
        <f t="shared" si="33"/>
        <v>1948</v>
      </c>
      <c r="BQ72" s="199">
        <f t="shared" si="70"/>
        <v>7.9861324328051403E-2</v>
      </c>
      <c r="BR72" s="205">
        <f t="shared" si="34"/>
        <v>0.39860855330468592</v>
      </c>
      <c r="BS72" s="206">
        <v>409</v>
      </c>
      <c r="BV72" s="206">
        <v>155</v>
      </c>
      <c r="BW72" s="206">
        <f t="shared" si="71"/>
        <v>7399</v>
      </c>
      <c r="BX72" s="206">
        <v>6835</v>
      </c>
      <c r="BY72" s="206"/>
      <c r="BZ72" s="206">
        <v>5544</v>
      </c>
      <c r="CA72" s="206">
        <f t="shared" si="40"/>
        <v>657</v>
      </c>
      <c r="CB72" s="199">
        <f t="shared" si="72"/>
        <v>0.13443830570902393</v>
      </c>
      <c r="CC72" s="206">
        <v>7565</v>
      </c>
      <c r="CD72" s="206">
        <v>7565</v>
      </c>
      <c r="CE72" s="206"/>
      <c r="CF72" s="206">
        <v>5586</v>
      </c>
      <c r="CG72" s="206">
        <f t="shared" si="73"/>
        <v>42</v>
      </c>
      <c r="CH72" s="304">
        <f t="shared" si="74"/>
        <v>7.575757575757576E-3</v>
      </c>
      <c r="CI72" s="206">
        <v>7446</v>
      </c>
      <c r="CJ72" s="206"/>
      <c r="CK72" s="206">
        <f t="shared" si="75"/>
        <v>7446</v>
      </c>
      <c r="CL72" s="206">
        <f t="shared" si="37"/>
        <v>1860</v>
      </c>
      <c r="CM72" s="608">
        <f t="shared" si="76"/>
        <v>0.33297529538131043</v>
      </c>
      <c r="CN72" s="206">
        <v>8142</v>
      </c>
      <c r="CO72" s="206">
        <f t="shared" si="38"/>
        <v>696</v>
      </c>
      <c r="CP72" s="199">
        <f t="shared" si="39"/>
        <v>9.3473005640612408E-2</v>
      </c>
    </row>
    <row r="73" spans="1:95" ht="18" customHeight="1" x14ac:dyDescent="0.25">
      <c r="A73" s="317" t="s">
        <v>188</v>
      </c>
      <c r="B73" s="310" t="s">
        <v>132</v>
      </c>
      <c r="C73" s="310" t="s">
        <v>132</v>
      </c>
      <c r="D73" s="310" t="s">
        <v>132</v>
      </c>
      <c r="E73" s="310" t="s">
        <v>132</v>
      </c>
      <c r="F73" s="310" t="s">
        <v>132</v>
      </c>
      <c r="G73" s="310" t="s">
        <v>132</v>
      </c>
      <c r="H73" s="310" t="s">
        <v>132</v>
      </c>
      <c r="I73" s="310" t="s">
        <v>132</v>
      </c>
      <c r="J73" s="310" t="s">
        <v>132</v>
      </c>
      <c r="K73" s="310" t="s">
        <v>132</v>
      </c>
      <c r="L73" s="612" t="s">
        <v>132</v>
      </c>
      <c r="M73" s="575" t="s">
        <v>132</v>
      </c>
      <c r="N73" s="575" t="s">
        <v>132</v>
      </c>
      <c r="O73" s="612" t="s">
        <v>132</v>
      </c>
      <c r="P73" s="612" t="s">
        <v>132</v>
      </c>
      <c r="Q73" s="575" t="s">
        <v>132</v>
      </c>
      <c r="R73" s="612" t="s">
        <v>132</v>
      </c>
      <c r="S73" s="612" t="s">
        <v>132</v>
      </c>
      <c r="T73" s="310" t="s">
        <v>132</v>
      </c>
      <c r="U73" s="611"/>
      <c r="V73" s="204" t="e">
        <f t="shared" si="81"/>
        <v>#VALUE!</v>
      </c>
      <c r="W73" s="394" t="s">
        <v>132</v>
      </c>
      <c r="Y73" s="204"/>
      <c r="AB73" s="374"/>
      <c r="AC73" s="394"/>
      <c r="AG73" s="204">
        <f t="shared" si="62"/>
        <v>0</v>
      </c>
      <c r="AH73" s="304" t="e">
        <f t="shared" si="63"/>
        <v>#DIV/0!</v>
      </c>
      <c r="AI73" s="66">
        <v>0</v>
      </c>
      <c r="AJ73" s="66">
        <v>0</v>
      </c>
      <c r="AM73" s="204">
        <f t="shared" si="64"/>
        <v>0</v>
      </c>
      <c r="AN73" s="66">
        <v>0</v>
      </c>
      <c r="AO73" s="66">
        <v>0</v>
      </c>
      <c r="AP73" s="206">
        <v>0</v>
      </c>
      <c r="AQ73" s="206">
        <v>0</v>
      </c>
      <c r="AR73" s="206">
        <f t="shared" si="83"/>
        <v>0</v>
      </c>
      <c r="AS73" s="203">
        <f t="shared" si="84"/>
        <v>0</v>
      </c>
      <c r="AT73" s="200">
        <f t="shared" si="85"/>
        <v>0</v>
      </c>
      <c r="AU73" s="199" t="e">
        <f t="shared" si="86"/>
        <v>#DIV/0!</v>
      </c>
      <c r="AV73" s="200">
        <f t="shared" si="65"/>
        <v>0</v>
      </c>
      <c r="AW73" s="199" t="e">
        <f t="shared" si="66"/>
        <v>#DIV/0!</v>
      </c>
      <c r="AY73" s="204">
        <f t="shared" si="27"/>
        <v>0</v>
      </c>
      <c r="AZ73" s="304" t="e">
        <f t="shared" si="28"/>
        <v>#DIV/0!</v>
      </c>
      <c r="BC73" s="560">
        <f t="shared" si="87"/>
        <v>0</v>
      </c>
      <c r="BF73" s="204">
        <f t="shared" si="67"/>
        <v>0</v>
      </c>
      <c r="BG73" s="304" t="e">
        <f t="shared" si="68"/>
        <v>#DIV/0!</v>
      </c>
      <c r="BH73" s="200"/>
      <c r="BI73" s="200"/>
      <c r="BJ73" s="200"/>
      <c r="BK73" s="200"/>
      <c r="BL73" s="206">
        <f t="shared" si="31"/>
        <v>0</v>
      </c>
      <c r="BM73" s="206">
        <f t="shared" si="69"/>
        <v>0</v>
      </c>
      <c r="BN73" s="206"/>
      <c r="BO73" s="206"/>
      <c r="BP73" s="206">
        <f t="shared" si="33"/>
        <v>0</v>
      </c>
      <c r="BQ73" s="199" t="e">
        <f t="shared" si="70"/>
        <v>#DIV/0!</v>
      </c>
      <c r="BR73" s="205" t="e">
        <f t="shared" si="34"/>
        <v>#DIV/0!</v>
      </c>
      <c r="BV73" s="206"/>
      <c r="BW73" s="206">
        <f t="shared" si="71"/>
        <v>0</v>
      </c>
      <c r="BX73" s="206"/>
      <c r="BY73" s="206"/>
      <c r="BZ73" s="206">
        <f t="shared" si="89"/>
        <v>0</v>
      </c>
      <c r="CA73" s="206">
        <f t="shared" si="40"/>
        <v>0</v>
      </c>
      <c r="CB73" s="199" t="e">
        <f t="shared" si="72"/>
        <v>#DIV/0!</v>
      </c>
      <c r="CC73" s="206"/>
      <c r="CD73" s="206"/>
      <c r="CE73" s="206"/>
      <c r="CF73" s="206">
        <f t="shared" si="90"/>
        <v>0</v>
      </c>
      <c r="CG73" s="206">
        <f t="shared" si="73"/>
        <v>0</v>
      </c>
      <c r="CH73" s="304" t="e">
        <f t="shared" si="74"/>
        <v>#DIV/0!</v>
      </c>
      <c r="CI73" s="206"/>
      <c r="CJ73" s="206"/>
      <c r="CK73" s="206">
        <f t="shared" si="75"/>
        <v>0</v>
      </c>
      <c r="CL73" s="206">
        <f t="shared" si="37"/>
        <v>0</v>
      </c>
      <c r="CM73" s="608" t="e">
        <f t="shared" si="76"/>
        <v>#DIV/0!</v>
      </c>
      <c r="CN73" s="206">
        <v>0</v>
      </c>
      <c r="CO73" s="206">
        <f t="shared" si="38"/>
        <v>0</v>
      </c>
      <c r="CP73" s="199" t="e">
        <f t="shared" si="39"/>
        <v>#DIV/0!</v>
      </c>
    </row>
    <row r="74" spans="1:95" s="148" customFormat="1" ht="18" customHeight="1" x14ac:dyDescent="0.25">
      <c r="A74" s="68" t="s">
        <v>189</v>
      </c>
      <c r="B74" s="416">
        <v>5155</v>
      </c>
      <c r="C74" s="416">
        <v>5962</v>
      </c>
      <c r="D74" s="416">
        <f t="shared" si="77"/>
        <v>807</v>
      </c>
      <c r="E74" s="563">
        <f>(C74-B74)/B74</f>
        <v>0.1565470417070805</v>
      </c>
      <c r="F74" s="567">
        <v>6127</v>
      </c>
      <c r="G74" s="203">
        <f t="shared" si="78"/>
        <v>165</v>
      </c>
      <c r="H74" s="362">
        <f>(F74-C74)/C74</f>
        <v>2.7675276752767528E-2</v>
      </c>
      <c r="I74" s="567">
        <v>6353</v>
      </c>
      <c r="J74" s="203">
        <f t="shared" si="79"/>
        <v>226</v>
      </c>
      <c r="K74" s="362">
        <f>(I74-F74)/F74</f>
        <v>3.6885914803329527E-2</v>
      </c>
      <c r="L74" s="423">
        <v>6478</v>
      </c>
      <c r="M74" s="203">
        <v>125</v>
      </c>
      <c r="N74" s="397">
        <v>1.967574374311349E-2</v>
      </c>
      <c r="O74" s="423">
        <v>6551</v>
      </c>
      <c r="P74" s="423">
        <f t="shared" si="91"/>
        <v>73</v>
      </c>
      <c r="Q74" s="397">
        <f t="shared" si="55"/>
        <v>1.1268910157456005E-2</v>
      </c>
      <c r="R74" s="423">
        <v>10186</v>
      </c>
      <c r="S74" s="423">
        <f t="shared" si="56"/>
        <v>3635</v>
      </c>
      <c r="T74" s="397">
        <f t="shared" si="57"/>
        <v>0.55487711799725237</v>
      </c>
      <c r="U74" s="203">
        <v>7628</v>
      </c>
      <c r="V74" s="203">
        <f t="shared" si="81"/>
        <v>-2558</v>
      </c>
      <c r="W74" s="397">
        <f t="shared" si="82"/>
        <v>-0.2511290005890438</v>
      </c>
      <c r="X74" s="201">
        <v>8568</v>
      </c>
      <c r="Y74" s="203">
        <f t="shared" ref="Y74:Y80" si="92">X74-U74</f>
        <v>940</v>
      </c>
      <c r="Z74" s="484">
        <f t="shared" ref="Z74:Z79" si="93">Y74/U74</f>
        <v>0.1232302045097011</v>
      </c>
      <c r="AA74" s="203">
        <v>9790</v>
      </c>
      <c r="AB74" s="564">
        <f t="shared" ref="AB74:AB80" si="94">AA74-X74</f>
        <v>1222</v>
      </c>
      <c r="AC74" s="485">
        <f>AB74/X74</f>
        <v>0.14262371615312791</v>
      </c>
      <c r="AD74" s="418">
        <v>0</v>
      </c>
      <c r="AE74" s="418">
        <v>9958</v>
      </c>
      <c r="AF74" s="203">
        <v>9561</v>
      </c>
      <c r="AG74" s="203">
        <f t="shared" si="62"/>
        <v>-229</v>
      </c>
      <c r="AH74" s="397">
        <f t="shared" si="63"/>
        <v>-2.3391215526046987E-2</v>
      </c>
      <c r="AI74" s="418">
        <f>AF74</f>
        <v>9561</v>
      </c>
      <c r="AJ74" s="418">
        <f>AF74</f>
        <v>9561</v>
      </c>
      <c r="AM74" s="203">
        <f t="shared" si="64"/>
        <v>0</v>
      </c>
      <c r="AN74" s="148">
        <v>0</v>
      </c>
      <c r="AO74" s="148">
        <v>9569</v>
      </c>
      <c r="AP74" s="309">
        <v>0</v>
      </c>
      <c r="AQ74" s="309">
        <v>78</v>
      </c>
      <c r="AR74" s="309">
        <f t="shared" si="83"/>
        <v>78</v>
      </c>
      <c r="AS74" s="203">
        <f t="shared" si="84"/>
        <v>9316.9128099999998</v>
      </c>
      <c r="AT74" s="418">
        <f t="shared" si="85"/>
        <v>-244.08719000000019</v>
      </c>
      <c r="AU74" s="362">
        <f t="shared" si="86"/>
        <v>-2.5529462399330634E-2</v>
      </c>
      <c r="AV74" s="418">
        <f t="shared" si="65"/>
        <v>-244.08719000000019</v>
      </c>
      <c r="AW74" s="362">
        <f t="shared" si="66"/>
        <v>-2.5529462399330634E-2</v>
      </c>
      <c r="AX74" s="203">
        <v>9453</v>
      </c>
      <c r="AY74" s="203">
        <f t="shared" si="27"/>
        <v>-108</v>
      </c>
      <c r="AZ74" s="397">
        <f t="shared" si="28"/>
        <v>-1.1295889551302165E-2</v>
      </c>
      <c r="BA74" s="560">
        <v>9453.4728799999993</v>
      </c>
      <c r="BB74" s="560">
        <v>9238.9128099999998</v>
      </c>
      <c r="BC74" s="560">
        <f t="shared" si="87"/>
        <v>214.56006999999954</v>
      </c>
      <c r="BD74" s="304">
        <f t="shared" si="88"/>
        <v>2.2696428362737268E-2</v>
      </c>
      <c r="BE74" s="203">
        <v>9238</v>
      </c>
      <c r="BF74" s="203">
        <f t="shared" si="67"/>
        <v>-215</v>
      </c>
      <c r="BG74" s="397">
        <f t="shared" si="68"/>
        <v>-2.2744102401354067E-2</v>
      </c>
      <c r="BH74" s="418"/>
      <c r="BI74" s="418"/>
      <c r="BJ74" s="418"/>
      <c r="BK74" s="418"/>
      <c r="BL74" s="309">
        <f t="shared" si="31"/>
        <v>9238</v>
      </c>
      <c r="BM74" s="309">
        <f t="shared" si="69"/>
        <v>-78.912809999999808</v>
      </c>
      <c r="BN74" s="309">
        <v>10360</v>
      </c>
      <c r="BO74" s="309">
        <v>10360</v>
      </c>
      <c r="BP74" s="206">
        <f t="shared" si="33"/>
        <v>1122</v>
      </c>
      <c r="BQ74" s="362">
        <f t="shared" si="70"/>
        <v>-8.4698452812933221E-3</v>
      </c>
      <c r="BR74" s="205">
        <f t="shared" si="34"/>
        <v>0.12145486035938514</v>
      </c>
      <c r="BS74" s="309">
        <v>1702</v>
      </c>
      <c r="BV74" s="309">
        <v>0</v>
      </c>
      <c r="BW74" s="206">
        <f t="shared" si="71"/>
        <v>12062</v>
      </c>
      <c r="BX74" s="206">
        <v>10360</v>
      </c>
      <c r="BY74" s="206"/>
      <c r="BZ74" s="206">
        <v>9691</v>
      </c>
      <c r="CA74" s="206">
        <f t="shared" si="40"/>
        <v>453</v>
      </c>
      <c r="CB74" s="199">
        <f t="shared" si="72"/>
        <v>4.9036588006061921E-2</v>
      </c>
      <c r="CC74" s="309">
        <v>11612</v>
      </c>
      <c r="CD74" s="309">
        <v>11612</v>
      </c>
      <c r="CE74" s="309"/>
      <c r="CF74" s="206">
        <v>11278</v>
      </c>
      <c r="CG74" s="206">
        <f t="shared" si="73"/>
        <v>1587</v>
      </c>
      <c r="CH74" s="304">
        <f t="shared" si="74"/>
        <v>0.16376018986688681</v>
      </c>
      <c r="CI74" s="309">
        <v>12159</v>
      </c>
      <c r="CJ74" s="309"/>
      <c r="CK74" s="309">
        <f t="shared" si="75"/>
        <v>12159</v>
      </c>
      <c r="CL74" s="206">
        <f t="shared" si="37"/>
        <v>881</v>
      </c>
      <c r="CM74" s="608">
        <f t="shared" si="76"/>
        <v>7.8116687355914163E-2</v>
      </c>
      <c r="CN74" s="309">
        <v>12729</v>
      </c>
      <c r="CO74" s="206">
        <f t="shared" si="38"/>
        <v>570</v>
      </c>
      <c r="CP74" s="199">
        <f t="shared" si="39"/>
        <v>4.6878855169010608E-2</v>
      </c>
    </row>
    <row r="75" spans="1:95" ht="18" customHeight="1" x14ac:dyDescent="0.25">
      <c r="A75" s="317" t="s">
        <v>190</v>
      </c>
      <c r="B75" s="310">
        <v>2757</v>
      </c>
      <c r="C75" s="310">
        <v>3052</v>
      </c>
      <c r="D75" s="416">
        <f t="shared" si="77"/>
        <v>295</v>
      </c>
      <c r="E75" s="563">
        <f>(C75-B75)/B75</f>
        <v>0.10700036271309395</v>
      </c>
      <c r="F75" s="310">
        <v>3826</v>
      </c>
      <c r="G75" s="204">
        <f t="shared" si="78"/>
        <v>774</v>
      </c>
      <c r="H75" s="199">
        <f>(F75-C75)/C75</f>
        <v>0.25360419397116646</v>
      </c>
      <c r="I75" s="310">
        <v>3779</v>
      </c>
      <c r="J75" s="204">
        <f t="shared" si="79"/>
        <v>-47</v>
      </c>
      <c r="K75" s="199">
        <f>(I75-F75)/F75</f>
        <v>-1.2284370099320438E-2</v>
      </c>
      <c r="L75" s="315">
        <v>4192</v>
      </c>
      <c r="M75" s="204">
        <v>413</v>
      </c>
      <c r="N75" s="304">
        <v>0.10928817147393491</v>
      </c>
      <c r="O75" s="315">
        <v>3830</v>
      </c>
      <c r="P75" s="315">
        <f t="shared" si="91"/>
        <v>-362</v>
      </c>
      <c r="Q75" s="304">
        <f t="shared" si="55"/>
        <v>-8.6354961832061067E-2</v>
      </c>
      <c r="R75" s="315">
        <v>4239</v>
      </c>
      <c r="S75" s="315">
        <f t="shared" si="56"/>
        <v>409</v>
      </c>
      <c r="T75" s="304">
        <f t="shared" si="57"/>
        <v>0.10678851174934725</v>
      </c>
      <c r="U75" s="204">
        <v>4384</v>
      </c>
      <c r="V75" s="204">
        <f t="shared" si="81"/>
        <v>145</v>
      </c>
      <c r="W75" s="304">
        <f t="shared" si="82"/>
        <v>3.4206180702995991E-2</v>
      </c>
      <c r="X75" s="201">
        <v>4865</v>
      </c>
      <c r="Y75" s="204">
        <f t="shared" si="92"/>
        <v>481</v>
      </c>
      <c r="Z75" s="484">
        <f t="shared" si="93"/>
        <v>0.10971715328467153</v>
      </c>
      <c r="AA75" s="203">
        <v>5025</v>
      </c>
      <c r="AB75" s="374">
        <f t="shared" si="94"/>
        <v>160</v>
      </c>
      <c r="AC75" s="205">
        <f>AB75/X75</f>
        <v>3.28879753340185E-2</v>
      </c>
      <c r="AD75" s="200">
        <v>0</v>
      </c>
      <c r="AE75" s="200">
        <v>5136</v>
      </c>
      <c r="AF75" s="204">
        <v>4723</v>
      </c>
      <c r="AG75" s="204">
        <f t="shared" si="62"/>
        <v>-302</v>
      </c>
      <c r="AH75" s="304">
        <f t="shared" si="63"/>
        <v>-6.0099502487562191E-2</v>
      </c>
      <c r="AI75" s="200">
        <f>AF75</f>
        <v>4723</v>
      </c>
      <c r="AJ75" s="200">
        <f>AF75</f>
        <v>4723</v>
      </c>
      <c r="AM75" s="204">
        <f t="shared" si="64"/>
        <v>0</v>
      </c>
      <c r="AN75" s="66">
        <v>0</v>
      </c>
      <c r="AO75" s="66">
        <v>5229</v>
      </c>
      <c r="AP75" s="206">
        <v>0</v>
      </c>
      <c r="AQ75" s="206">
        <v>14</v>
      </c>
      <c r="AR75" s="206">
        <f t="shared" si="83"/>
        <v>14</v>
      </c>
      <c r="AS75" s="203">
        <f t="shared" si="84"/>
        <v>4974.1370699999998</v>
      </c>
      <c r="AT75" s="200">
        <f t="shared" si="85"/>
        <v>251.13706999999977</v>
      </c>
      <c r="AU75" s="199">
        <f t="shared" si="86"/>
        <v>5.3173209824264191E-2</v>
      </c>
      <c r="AV75" s="200">
        <f t="shared" si="65"/>
        <v>251.13706999999977</v>
      </c>
      <c r="AW75" s="199">
        <f t="shared" si="66"/>
        <v>5.3173209824264191E-2</v>
      </c>
      <c r="AX75" s="204">
        <v>5170</v>
      </c>
      <c r="AY75" s="204">
        <f t="shared" si="27"/>
        <v>447</v>
      </c>
      <c r="AZ75" s="304">
        <f t="shared" si="28"/>
        <v>9.4643235231844161E-2</v>
      </c>
      <c r="BA75" s="560">
        <v>5170.1981900000001</v>
      </c>
      <c r="BB75" s="560">
        <v>4960.1370699999998</v>
      </c>
      <c r="BC75" s="560">
        <f t="shared" si="87"/>
        <v>210.0611200000003</v>
      </c>
      <c r="BD75" s="304">
        <f t="shared" si="88"/>
        <v>4.062922005703621E-2</v>
      </c>
      <c r="BE75" s="204">
        <v>4986</v>
      </c>
      <c r="BF75" s="204">
        <f t="shared" si="67"/>
        <v>-184</v>
      </c>
      <c r="BG75" s="304">
        <f t="shared" si="68"/>
        <v>-3.5589941972920695E-2</v>
      </c>
      <c r="BH75" s="200"/>
      <c r="BI75" s="200"/>
      <c r="BJ75" s="200"/>
      <c r="BK75" s="200"/>
      <c r="BL75" s="206">
        <f t="shared" si="31"/>
        <v>4986</v>
      </c>
      <c r="BM75" s="206">
        <f t="shared" si="69"/>
        <v>11.862930000000233</v>
      </c>
      <c r="BN75" s="206">
        <v>6116</v>
      </c>
      <c r="BO75" s="206">
        <v>6116</v>
      </c>
      <c r="BP75" s="206">
        <f t="shared" si="33"/>
        <v>1130</v>
      </c>
      <c r="BQ75" s="199">
        <f t="shared" si="70"/>
        <v>2.3849222152617991E-3</v>
      </c>
      <c r="BR75" s="205">
        <f t="shared" si="34"/>
        <v>0.22663457681508223</v>
      </c>
      <c r="BS75" s="206">
        <v>1038</v>
      </c>
      <c r="BV75" s="206">
        <v>0</v>
      </c>
      <c r="BW75" s="206">
        <f t="shared" si="71"/>
        <v>7154</v>
      </c>
      <c r="BX75" s="206">
        <v>6116</v>
      </c>
      <c r="BY75" s="206"/>
      <c r="BZ75" s="206">
        <v>5169</v>
      </c>
      <c r="CA75" s="206">
        <f t="shared" si="40"/>
        <v>183</v>
      </c>
      <c r="CB75" s="199">
        <f t="shared" si="72"/>
        <v>3.6702767749699154E-2</v>
      </c>
      <c r="CC75" s="206">
        <v>6566</v>
      </c>
      <c r="CD75" s="206">
        <v>6566</v>
      </c>
      <c r="CE75" s="206"/>
      <c r="CF75" s="206">
        <v>6087</v>
      </c>
      <c r="CG75" s="206">
        <f t="shared" si="73"/>
        <v>918</v>
      </c>
      <c r="CH75" s="304">
        <f t="shared" si="74"/>
        <v>0.17759721416134649</v>
      </c>
      <c r="CI75" s="206">
        <v>6911</v>
      </c>
      <c r="CJ75" s="206"/>
      <c r="CK75" s="206">
        <f t="shared" si="75"/>
        <v>6911</v>
      </c>
      <c r="CL75" s="206">
        <f t="shared" ref="CL75:CL138" si="95">CK75-CF75</f>
        <v>824</v>
      </c>
      <c r="CM75" s="608">
        <f t="shared" si="76"/>
        <v>0.13537046163955971</v>
      </c>
      <c r="CN75" s="206">
        <v>7398</v>
      </c>
      <c r="CO75" s="206">
        <f t="shared" ref="CO75:CO138" si="96">CN75-CK75</f>
        <v>487</v>
      </c>
      <c r="CP75" s="199">
        <f t="shared" ref="CP75:CP138" si="97">CO75/CK75</f>
        <v>7.0467370858052381E-2</v>
      </c>
    </row>
    <row r="76" spans="1:95" ht="18" customHeight="1" x14ac:dyDescent="0.25">
      <c r="A76" s="317" t="s">
        <v>191</v>
      </c>
      <c r="B76" s="310">
        <v>6426</v>
      </c>
      <c r="C76" s="310">
        <v>7518</v>
      </c>
      <c r="D76" s="416">
        <f t="shared" si="77"/>
        <v>1092</v>
      </c>
      <c r="E76" s="563">
        <f>(C76-B76)/B76</f>
        <v>0.16993464052287582</v>
      </c>
      <c r="F76" s="310">
        <v>8346</v>
      </c>
      <c r="G76" s="204">
        <f t="shared" si="78"/>
        <v>828</v>
      </c>
      <c r="H76" s="199">
        <f>(F76-C76)/C76</f>
        <v>0.11013567438148444</v>
      </c>
      <c r="I76" s="310">
        <v>9349</v>
      </c>
      <c r="J76" s="204">
        <f t="shared" si="79"/>
        <v>1003</v>
      </c>
      <c r="K76" s="199">
        <f>(I76-F76)/F76</f>
        <v>0.12017733045770429</v>
      </c>
      <c r="L76" s="315">
        <f>9706+1682</f>
        <v>11388</v>
      </c>
      <c r="M76" s="204">
        <f>L76-I76</f>
        <v>2039</v>
      </c>
      <c r="N76" s="304">
        <f>M76/I76</f>
        <v>0.21809819232003422</v>
      </c>
      <c r="O76" s="315">
        <v>11766</v>
      </c>
      <c r="P76" s="315">
        <f>O76-L76</f>
        <v>378</v>
      </c>
      <c r="Q76" s="304">
        <f t="shared" si="55"/>
        <v>3.3192834562697573E-2</v>
      </c>
      <c r="R76" s="315">
        <v>13157</v>
      </c>
      <c r="S76" s="315">
        <f t="shared" si="56"/>
        <v>1391</v>
      </c>
      <c r="T76" s="304">
        <f t="shared" si="57"/>
        <v>0.11822199558048614</v>
      </c>
      <c r="U76" s="204">
        <v>13971</v>
      </c>
      <c r="V76" s="204">
        <f t="shared" si="81"/>
        <v>814</v>
      </c>
      <c r="W76" s="304">
        <f t="shared" si="82"/>
        <v>6.186820703807859E-2</v>
      </c>
      <c r="X76" s="201">
        <v>14651</v>
      </c>
      <c r="Y76" s="204">
        <f t="shared" si="92"/>
        <v>680</v>
      </c>
      <c r="Z76" s="484">
        <f t="shared" si="93"/>
        <v>4.867224966001002E-2</v>
      </c>
      <c r="AA76" s="203">
        <v>16319</v>
      </c>
      <c r="AB76" s="374">
        <f t="shared" si="94"/>
        <v>1668</v>
      </c>
      <c r="AC76" s="205">
        <f>AB76/X76</f>
        <v>0.11384888403521944</v>
      </c>
      <c r="AD76" s="200">
        <v>0</v>
      </c>
      <c r="AE76" s="200">
        <v>16327</v>
      </c>
      <c r="AF76" s="204">
        <v>14953</v>
      </c>
      <c r="AG76" s="204">
        <f t="shared" si="62"/>
        <v>-1366</v>
      </c>
      <c r="AH76" s="304">
        <f t="shared" si="63"/>
        <v>-8.370610944298057E-2</v>
      </c>
      <c r="AI76" s="200">
        <f>AF76</f>
        <v>14953</v>
      </c>
      <c r="AJ76" s="200">
        <f>AF76-546</f>
        <v>14407</v>
      </c>
      <c r="AM76" s="204">
        <f t="shared" si="64"/>
        <v>0</v>
      </c>
      <c r="AN76" s="66">
        <v>0</v>
      </c>
      <c r="AO76" s="66">
        <v>16674</v>
      </c>
      <c r="AP76" s="206">
        <v>0</v>
      </c>
      <c r="AQ76" s="206">
        <v>119</v>
      </c>
      <c r="AR76" s="206">
        <f t="shared" si="83"/>
        <v>119</v>
      </c>
      <c r="AS76" s="203">
        <f t="shared" si="84"/>
        <v>13872.063039999999</v>
      </c>
      <c r="AT76" s="200">
        <f t="shared" si="85"/>
        <v>-1080.9369600000009</v>
      </c>
      <c r="AU76" s="199">
        <f t="shared" si="86"/>
        <v>-7.2288969437571113E-2</v>
      </c>
      <c r="AV76" s="200">
        <f t="shared" si="65"/>
        <v>-1080.9369600000009</v>
      </c>
      <c r="AW76" s="199">
        <f t="shared" si="66"/>
        <v>-7.2288969437571113E-2</v>
      </c>
      <c r="AX76" s="204">
        <v>15088</v>
      </c>
      <c r="AY76" s="204">
        <f t="shared" si="27"/>
        <v>135</v>
      </c>
      <c r="AZ76" s="304">
        <f t="shared" si="28"/>
        <v>9.0282886377315592E-3</v>
      </c>
      <c r="BA76" s="560">
        <v>15086.813529999999</v>
      </c>
      <c r="BB76" s="560">
        <v>13753.063039999999</v>
      </c>
      <c r="BC76" s="560">
        <f t="shared" si="87"/>
        <v>1333.7504900000004</v>
      </c>
      <c r="BD76" s="304">
        <f t="shared" si="88"/>
        <v>8.8405049041525491E-2</v>
      </c>
      <c r="BE76" s="204">
        <v>13939</v>
      </c>
      <c r="BF76" s="204">
        <f t="shared" si="67"/>
        <v>-1149</v>
      </c>
      <c r="BG76" s="304">
        <f t="shared" si="68"/>
        <v>-7.6153234358430535E-2</v>
      </c>
      <c r="BH76" s="200"/>
      <c r="BI76" s="200"/>
      <c r="BJ76" s="200"/>
      <c r="BK76" s="200"/>
      <c r="BL76" s="206">
        <f t="shared" si="31"/>
        <v>13939</v>
      </c>
      <c r="BM76" s="206">
        <f t="shared" si="69"/>
        <v>66.936960000000909</v>
      </c>
      <c r="BN76" s="206">
        <v>17868</v>
      </c>
      <c r="BO76" s="206">
        <v>17868</v>
      </c>
      <c r="BP76" s="206">
        <f t="shared" si="33"/>
        <v>3929</v>
      </c>
      <c r="BQ76" s="199">
        <f t="shared" si="70"/>
        <v>4.8253067915701251E-3</v>
      </c>
      <c r="BR76" s="205">
        <f t="shared" si="34"/>
        <v>0.28187100939809168</v>
      </c>
      <c r="BS76" s="206">
        <v>1900</v>
      </c>
      <c r="BV76" s="206">
        <v>1</v>
      </c>
      <c r="BW76" s="206">
        <f t="shared" si="71"/>
        <v>19769</v>
      </c>
      <c r="BX76" s="206">
        <v>17868</v>
      </c>
      <c r="BY76" s="206"/>
      <c r="BZ76" s="206">
        <v>15443</v>
      </c>
      <c r="CA76" s="206">
        <f t="shared" si="40"/>
        <v>1504</v>
      </c>
      <c r="CB76" s="199">
        <f t="shared" si="72"/>
        <v>0.10789870148504196</v>
      </c>
      <c r="CC76" s="206">
        <v>18786</v>
      </c>
      <c r="CD76" s="206">
        <v>18786</v>
      </c>
      <c r="CE76" s="206">
        <v>1000</v>
      </c>
      <c r="CF76" s="206">
        <v>16980</v>
      </c>
      <c r="CG76" s="206">
        <f t="shared" si="73"/>
        <v>1537</v>
      </c>
      <c r="CH76" s="304">
        <f t="shared" si="74"/>
        <v>9.952729391957521E-2</v>
      </c>
      <c r="CI76" s="206">
        <v>22118</v>
      </c>
      <c r="CJ76" s="206"/>
      <c r="CK76" s="206">
        <f t="shared" si="75"/>
        <v>22118</v>
      </c>
      <c r="CL76" s="206">
        <f t="shared" si="95"/>
        <v>5138</v>
      </c>
      <c r="CM76" s="608">
        <f t="shared" si="76"/>
        <v>0.30259128386336864</v>
      </c>
      <c r="CN76" s="206">
        <v>25610</v>
      </c>
      <c r="CO76" s="206">
        <f t="shared" si="96"/>
        <v>3492</v>
      </c>
      <c r="CP76" s="199">
        <f t="shared" si="97"/>
        <v>0.157880459354372</v>
      </c>
    </row>
    <row r="77" spans="1:95" ht="18" customHeight="1" x14ac:dyDescent="0.25">
      <c r="A77" s="317" t="s">
        <v>192</v>
      </c>
      <c r="B77" s="310">
        <v>3320</v>
      </c>
      <c r="C77" s="310">
        <v>7687</v>
      </c>
      <c r="D77" s="416">
        <f t="shared" si="77"/>
        <v>4367</v>
      </c>
      <c r="E77" s="563">
        <f>(C77-B77)/B77</f>
        <v>1.3153614457831326</v>
      </c>
      <c r="F77" s="310">
        <v>3197</v>
      </c>
      <c r="G77" s="204">
        <f t="shared" si="78"/>
        <v>-4490</v>
      </c>
      <c r="H77" s="199">
        <f>(F77-C77)/C77</f>
        <v>-0.58410303109145312</v>
      </c>
      <c r="I77" s="310">
        <v>5355</v>
      </c>
      <c r="J77" s="204">
        <f t="shared" si="79"/>
        <v>2158</v>
      </c>
      <c r="K77" s="199">
        <f>(I77-F77)/F77</f>
        <v>0.67500781983109159</v>
      </c>
      <c r="L77" s="315">
        <v>4485</v>
      </c>
      <c r="M77" s="204">
        <v>-870</v>
      </c>
      <c r="N77" s="304">
        <v>-0.16246498599439776</v>
      </c>
      <c r="O77" s="315">
        <v>4885</v>
      </c>
      <c r="P77" s="315">
        <f t="shared" si="91"/>
        <v>400</v>
      </c>
      <c r="Q77" s="304">
        <f t="shared" si="55"/>
        <v>8.9186176142697887E-2</v>
      </c>
      <c r="R77" s="315">
        <v>5385</v>
      </c>
      <c r="S77" s="315">
        <f t="shared" si="56"/>
        <v>500</v>
      </c>
      <c r="T77" s="304">
        <f t="shared" si="57"/>
        <v>0.10235414534288639</v>
      </c>
      <c r="U77" s="204">
        <v>6565</v>
      </c>
      <c r="V77" s="204">
        <f t="shared" si="81"/>
        <v>1180</v>
      </c>
      <c r="W77" s="304">
        <f t="shared" si="82"/>
        <v>0.21912720519962861</v>
      </c>
      <c r="X77" s="201">
        <v>6942</v>
      </c>
      <c r="Y77" s="204">
        <f t="shared" si="92"/>
        <v>377</v>
      </c>
      <c r="Z77" s="484">
        <f t="shared" si="93"/>
        <v>5.7425742574257428E-2</v>
      </c>
      <c r="AA77" s="203">
        <v>7089</v>
      </c>
      <c r="AB77" s="374">
        <f t="shared" si="94"/>
        <v>147</v>
      </c>
      <c r="AC77" s="205">
        <f>AB77/X77</f>
        <v>2.1175453759723423E-2</v>
      </c>
      <c r="AD77" s="200">
        <v>0</v>
      </c>
      <c r="AE77" s="200">
        <v>8477</v>
      </c>
      <c r="AF77" s="204">
        <v>6685</v>
      </c>
      <c r="AG77" s="204">
        <f t="shared" si="62"/>
        <v>-404</v>
      </c>
      <c r="AH77" s="304">
        <f t="shared" si="63"/>
        <v>-5.698970235576245E-2</v>
      </c>
      <c r="AI77" s="200">
        <f>AF77</f>
        <v>6685</v>
      </c>
      <c r="AJ77" s="200">
        <f>AF77-851</f>
        <v>5834</v>
      </c>
      <c r="AM77" s="204">
        <f t="shared" si="64"/>
        <v>0</v>
      </c>
      <c r="AN77" s="66">
        <v>0</v>
      </c>
      <c r="AO77" s="66">
        <v>7631</v>
      </c>
      <c r="AP77" s="206">
        <v>0</v>
      </c>
      <c r="AQ77" s="206">
        <v>0</v>
      </c>
      <c r="AR77" s="206">
        <f t="shared" si="83"/>
        <v>0</v>
      </c>
      <c r="AS77" s="203">
        <f t="shared" si="84"/>
        <v>6956.5019300000004</v>
      </c>
      <c r="AT77" s="200">
        <f t="shared" si="85"/>
        <v>271.50193000000036</v>
      </c>
      <c r="AU77" s="199">
        <f t="shared" si="86"/>
        <v>4.0613602094240892E-2</v>
      </c>
      <c r="AV77" s="200">
        <f t="shared" si="65"/>
        <v>271.50193000000036</v>
      </c>
      <c r="AW77" s="199">
        <f t="shared" si="66"/>
        <v>4.0613602094240892E-2</v>
      </c>
      <c r="AX77" s="204">
        <v>7295</v>
      </c>
      <c r="AY77" s="204">
        <f t="shared" si="27"/>
        <v>610</v>
      </c>
      <c r="AZ77" s="304">
        <f t="shared" si="28"/>
        <v>9.1249065071054597E-2</v>
      </c>
      <c r="BA77" s="560">
        <v>7295.3704900000002</v>
      </c>
      <c r="BB77" s="560">
        <v>6956.5019300000004</v>
      </c>
      <c r="BC77" s="560">
        <f t="shared" si="87"/>
        <v>338.86855999999989</v>
      </c>
      <c r="BD77" s="304">
        <f t="shared" si="88"/>
        <v>4.6449808198843083E-2</v>
      </c>
      <c r="BE77" s="204">
        <v>5605</v>
      </c>
      <c r="BF77" s="204">
        <f t="shared" si="67"/>
        <v>-1690</v>
      </c>
      <c r="BG77" s="304">
        <f t="shared" si="68"/>
        <v>-0.23166552433173407</v>
      </c>
      <c r="BH77" s="200"/>
      <c r="BI77" s="200"/>
      <c r="BJ77" s="200"/>
      <c r="BK77" s="200"/>
      <c r="BL77" s="206">
        <f t="shared" si="31"/>
        <v>5605</v>
      </c>
      <c r="BM77" s="206">
        <f t="shared" si="69"/>
        <v>-1351.5019300000004</v>
      </c>
      <c r="BN77" s="206">
        <v>8592</v>
      </c>
      <c r="BO77" s="206">
        <v>8592</v>
      </c>
      <c r="BP77" s="206">
        <f t="shared" si="33"/>
        <v>2987</v>
      </c>
      <c r="BQ77" s="199">
        <f t="shared" si="70"/>
        <v>-0.19427895565896872</v>
      </c>
      <c r="BR77" s="205">
        <f t="shared" si="34"/>
        <v>0.53291703835860837</v>
      </c>
      <c r="BS77" s="206">
        <v>196</v>
      </c>
      <c r="BV77" s="206">
        <v>0</v>
      </c>
      <c r="BW77" s="206">
        <f t="shared" si="71"/>
        <v>8788</v>
      </c>
      <c r="BX77" s="206">
        <v>8592</v>
      </c>
      <c r="BY77" s="206">
        <v>1100</v>
      </c>
      <c r="BZ77" s="206">
        <v>5883</v>
      </c>
      <c r="CA77" s="206">
        <f t="shared" si="40"/>
        <v>278</v>
      </c>
      <c r="CB77" s="199">
        <f t="shared" si="72"/>
        <v>4.9598572702943801E-2</v>
      </c>
      <c r="CC77" s="206">
        <v>8464</v>
      </c>
      <c r="CD77" s="206">
        <v>8464</v>
      </c>
      <c r="CE77" s="206"/>
      <c r="CF77" s="206">
        <v>5684</v>
      </c>
      <c r="CG77" s="206">
        <f t="shared" si="73"/>
        <v>-199</v>
      </c>
      <c r="CH77" s="304">
        <f t="shared" si="74"/>
        <v>-3.3826279109297974E-2</v>
      </c>
      <c r="CI77" s="206">
        <v>9444</v>
      </c>
      <c r="CJ77" s="206"/>
      <c r="CK77" s="206">
        <f t="shared" si="75"/>
        <v>9444</v>
      </c>
      <c r="CL77" s="206">
        <f t="shared" si="95"/>
        <v>3760</v>
      </c>
      <c r="CM77" s="608">
        <f t="shared" si="76"/>
        <v>0.66150598170302599</v>
      </c>
      <c r="CN77" s="206">
        <v>0</v>
      </c>
      <c r="CO77" s="206">
        <f t="shared" si="96"/>
        <v>-9444</v>
      </c>
      <c r="CP77" s="199">
        <f t="shared" si="97"/>
        <v>-1</v>
      </c>
      <c r="CQ77" s="66" t="s">
        <v>513</v>
      </c>
    </row>
    <row r="78" spans="1:95" ht="18" customHeight="1" x14ac:dyDescent="0.25">
      <c r="A78" s="317" t="s">
        <v>193</v>
      </c>
      <c r="B78" s="310" t="s">
        <v>132</v>
      </c>
      <c r="C78" s="310" t="s">
        <v>132</v>
      </c>
      <c r="D78" s="310" t="s">
        <v>132</v>
      </c>
      <c r="E78" s="310" t="s">
        <v>132</v>
      </c>
      <c r="F78" s="310" t="s">
        <v>132</v>
      </c>
      <c r="G78" s="310" t="s">
        <v>132</v>
      </c>
      <c r="H78" s="310" t="s">
        <v>132</v>
      </c>
      <c r="I78" s="310" t="s">
        <v>132</v>
      </c>
      <c r="J78" s="310" t="s">
        <v>132</v>
      </c>
      <c r="K78" s="310" t="s">
        <v>132</v>
      </c>
      <c r="L78" s="612" t="s">
        <v>132</v>
      </c>
      <c r="M78" s="612" t="s">
        <v>132</v>
      </c>
      <c r="N78" s="302" t="s">
        <v>132</v>
      </c>
      <c r="O78" s="612" t="s">
        <v>132</v>
      </c>
      <c r="P78" s="612" t="s">
        <v>132</v>
      </c>
      <c r="Q78" s="302" t="s">
        <v>132</v>
      </c>
      <c r="R78" s="612" t="s">
        <v>132</v>
      </c>
      <c r="S78" s="612" t="s">
        <v>132</v>
      </c>
      <c r="T78" s="302" t="s">
        <v>132</v>
      </c>
      <c r="U78" s="612" t="s">
        <v>132</v>
      </c>
      <c r="V78" s="612" t="s">
        <v>132</v>
      </c>
      <c r="W78" s="612" t="s">
        <v>132</v>
      </c>
      <c r="X78" s="201" t="s">
        <v>132</v>
      </c>
      <c r="Y78" s="575" t="s">
        <v>132</v>
      </c>
      <c r="Z78" s="201" t="s">
        <v>132</v>
      </c>
      <c r="AA78" s="571" t="s">
        <v>132</v>
      </c>
      <c r="AB78" s="310" t="s">
        <v>132</v>
      </c>
      <c r="AC78" s="394" t="s">
        <v>132</v>
      </c>
      <c r="AD78" s="200">
        <v>0</v>
      </c>
      <c r="AE78" s="200"/>
      <c r="AG78" s="204" t="e">
        <f t="shared" si="62"/>
        <v>#VALUE!</v>
      </c>
      <c r="AH78" s="304" t="e">
        <f t="shared" si="63"/>
        <v>#VALUE!</v>
      </c>
      <c r="AI78" s="66">
        <v>0</v>
      </c>
      <c r="AJ78" s="66">
        <v>0</v>
      </c>
      <c r="AM78" s="204">
        <f t="shared" si="64"/>
        <v>0</v>
      </c>
      <c r="AN78" s="66">
        <v>0</v>
      </c>
      <c r="AO78" s="66">
        <v>0</v>
      </c>
      <c r="AP78" s="206">
        <v>0</v>
      </c>
      <c r="AQ78" s="206">
        <v>0</v>
      </c>
      <c r="AR78" s="206">
        <f t="shared" si="83"/>
        <v>0</v>
      </c>
      <c r="AS78" s="203">
        <f t="shared" si="84"/>
        <v>0</v>
      </c>
      <c r="AT78" s="200">
        <f t="shared" si="85"/>
        <v>0</v>
      </c>
      <c r="AU78" s="199" t="e">
        <f t="shared" si="86"/>
        <v>#DIV/0!</v>
      </c>
      <c r="AV78" s="200">
        <f t="shared" si="65"/>
        <v>0</v>
      </c>
      <c r="AW78" s="199" t="e">
        <f t="shared" si="66"/>
        <v>#DIV/0!</v>
      </c>
      <c r="AY78" s="204">
        <f t="shared" si="27"/>
        <v>0</v>
      </c>
      <c r="AZ78" s="304" t="e">
        <f t="shared" si="28"/>
        <v>#DIV/0!</v>
      </c>
      <c r="BC78" s="560">
        <f t="shared" si="87"/>
        <v>0</v>
      </c>
      <c r="BF78" s="204">
        <f t="shared" si="67"/>
        <v>0</v>
      </c>
      <c r="BG78" s="304" t="e">
        <f t="shared" si="68"/>
        <v>#DIV/0!</v>
      </c>
      <c r="BH78" s="200"/>
      <c r="BI78" s="200"/>
      <c r="BJ78" s="200"/>
      <c r="BK78" s="200"/>
      <c r="BL78" s="206">
        <f t="shared" si="31"/>
        <v>0</v>
      </c>
      <c r="BM78" s="206">
        <f t="shared" si="69"/>
        <v>0</v>
      </c>
      <c r="BN78" s="206"/>
      <c r="BO78" s="206"/>
      <c r="BP78" s="206">
        <f t="shared" si="33"/>
        <v>0</v>
      </c>
      <c r="BQ78" s="199" t="e">
        <f t="shared" si="70"/>
        <v>#DIV/0!</v>
      </c>
      <c r="BR78" s="205" t="e">
        <f t="shared" si="34"/>
        <v>#DIV/0!</v>
      </c>
      <c r="BV78" s="206"/>
      <c r="BW78" s="206">
        <f t="shared" si="71"/>
        <v>0</v>
      </c>
      <c r="BX78" s="206"/>
      <c r="BY78" s="206"/>
      <c r="BZ78" s="206">
        <f t="shared" si="89"/>
        <v>0</v>
      </c>
      <c r="CA78" s="206">
        <f t="shared" si="40"/>
        <v>0</v>
      </c>
      <c r="CB78" s="199" t="e">
        <f t="shared" si="72"/>
        <v>#DIV/0!</v>
      </c>
      <c r="CC78" s="206"/>
      <c r="CD78" s="206"/>
      <c r="CE78" s="206"/>
      <c r="CF78" s="206">
        <f t="shared" si="90"/>
        <v>0</v>
      </c>
      <c r="CG78" s="206">
        <f t="shared" si="73"/>
        <v>0</v>
      </c>
      <c r="CH78" s="304" t="e">
        <f t="shared" si="74"/>
        <v>#DIV/0!</v>
      </c>
      <c r="CI78" s="206"/>
      <c r="CJ78" s="206"/>
      <c r="CK78" s="206">
        <f t="shared" si="75"/>
        <v>0</v>
      </c>
      <c r="CL78" s="206">
        <f t="shared" si="95"/>
        <v>0</v>
      </c>
      <c r="CM78" s="608" t="e">
        <f t="shared" si="76"/>
        <v>#DIV/0!</v>
      </c>
      <c r="CN78" s="206">
        <v>0</v>
      </c>
      <c r="CO78" s="206">
        <f t="shared" si="96"/>
        <v>0</v>
      </c>
      <c r="CP78" s="199" t="e">
        <f t="shared" si="97"/>
        <v>#DIV/0!</v>
      </c>
    </row>
    <row r="79" spans="1:95" ht="18" customHeight="1" x14ac:dyDescent="0.25">
      <c r="A79" s="68" t="s">
        <v>194</v>
      </c>
      <c r="B79" s="310" t="s">
        <v>132</v>
      </c>
      <c r="C79" s="310" t="s">
        <v>132</v>
      </c>
      <c r="D79" s="310" t="s">
        <v>132</v>
      </c>
      <c r="E79" s="310" t="s">
        <v>132</v>
      </c>
      <c r="F79" s="310" t="s">
        <v>132</v>
      </c>
      <c r="G79" s="310" t="s">
        <v>132</v>
      </c>
      <c r="H79" s="310" t="s">
        <v>132</v>
      </c>
      <c r="I79" s="310" t="s">
        <v>132</v>
      </c>
      <c r="J79" s="310" t="s">
        <v>132</v>
      </c>
      <c r="K79" s="310" t="s">
        <v>132</v>
      </c>
      <c r="L79" s="315">
        <v>0</v>
      </c>
      <c r="M79" s="315">
        <v>0</v>
      </c>
      <c r="N79" s="395">
        <v>0</v>
      </c>
      <c r="O79" s="315">
        <v>0</v>
      </c>
      <c r="P79" s="315">
        <v>0</v>
      </c>
      <c r="Q79" s="395">
        <v>0</v>
      </c>
      <c r="R79" s="315">
        <v>0</v>
      </c>
      <c r="S79" s="315">
        <v>0</v>
      </c>
      <c r="T79" s="395">
        <v>0</v>
      </c>
      <c r="U79" s="613">
        <v>58500</v>
      </c>
      <c r="V79" s="315">
        <f t="shared" si="81"/>
        <v>58500</v>
      </c>
      <c r="W79" s="395" t="s">
        <v>132</v>
      </c>
      <c r="X79" s="463">
        <v>70589</v>
      </c>
      <c r="Y79" s="204">
        <f t="shared" si="92"/>
        <v>12089</v>
      </c>
      <c r="Z79" s="484">
        <f t="shared" si="93"/>
        <v>0.20664957264957265</v>
      </c>
      <c r="AA79" s="203">
        <v>32775</v>
      </c>
      <c r="AB79" s="374">
        <f t="shared" si="94"/>
        <v>-37814</v>
      </c>
      <c r="AC79" s="205">
        <f>AB79/X79</f>
        <v>-0.53569252999759165</v>
      </c>
      <c r="AD79" s="200">
        <v>0</v>
      </c>
      <c r="AE79" s="200">
        <v>13039</v>
      </c>
      <c r="AF79" s="204">
        <v>13039</v>
      </c>
      <c r="AG79" s="204">
        <f t="shared" si="62"/>
        <v>-19736</v>
      </c>
      <c r="AH79" s="304">
        <f t="shared" si="63"/>
        <v>-0.60216628527841343</v>
      </c>
      <c r="AI79" s="200">
        <f>AF79</f>
        <v>13039</v>
      </c>
      <c r="AJ79" s="200">
        <f>AF79</f>
        <v>13039</v>
      </c>
      <c r="AM79" s="204">
        <f t="shared" si="64"/>
        <v>0</v>
      </c>
      <c r="AN79" s="66">
        <v>0</v>
      </c>
      <c r="AO79" s="66">
        <v>14384</v>
      </c>
      <c r="AP79" s="206">
        <v>0</v>
      </c>
      <c r="AQ79" s="206">
        <v>0</v>
      </c>
      <c r="AR79" s="206">
        <f t="shared" si="83"/>
        <v>0</v>
      </c>
      <c r="AS79" s="203">
        <f t="shared" si="84"/>
        <v>34018.224999999999</v>
      </c>
      <c r="AT79" s="200">
        <f t="shared" si="85"/>
        <v>20979.224999999999</v>
      </c>
      <c r="AU79" s="199">
        <f t="shared" si="86"/>
        <v>1.6089596594830891</v>
      </c>
      <c r="AV79" s="200">
        <f t="shared" si="65"/>
        <v>20979.224999999999</v>
      </c>
      <c r="AW79" s="199">
        <f t="shared" si="66"/>
        <v>1.6089596594830891</v>
      </c>
      <c r="AX79" s="204">
        <f>24686+15691</f>
        <v>40377</v>
      </c>
      <c r="AY79" s="204">
        <f t="shared" si="27"/>
        <v>27338</v>
      </c>
      <c r="AZ79" s="304">
        <f t="shared" si="28"/>
        <v>2.0966331773909044</v>
      </c>
      <c r="BA79" s="560">
        <v>34018.224999999999</v>
      </c>
      <c r="BB79" s="560">
        <v>34018.224999999999</v>
      </c>
      <c r="BC79" s="560">
        <f t="shared" si="87"/>
        <v>0</v>
      </c>
      <c r="BD79" s="304">
        <f t="shared" si="88"/>
        <v>0</v>
      </c>
      <c r="BE79" s="204">
        <f>(24509+18227)-18000</f>
        <v>24736</v>
      </c>
      <c r="BF79" s="204">
        <f t="shared" si="67"/>
        <v>-15641</v>
      </c>
      <c r="BG79" s="304">
        <f t="shared" si="68"/>
        <v>-0.38737400004953315</v>
      </c>
      <c r="BH79" s="200"/>
      <c r="BI79" s="200"/>
      <c r="BJ79" s="200"/>
      <c r="BK79" s="200"/>
      <c r="BL79" s="206">
        <f t="shared" si="31"/>
        <v>24736</v>
      </c>
      <c r="BM79" s="206">
        <f t="shared" si="69"/>
        <v>-9282.2249999999985</v>
      </c>
      <c r="BN79" s="206">
        <f>45360-19900</f>
        <v>25460</v>
      </c>
      <c r="BO79" s="206">
        <v>15000</v>
      </c>
      <c r="BP79" s="206">
        <f t="shared" si="33"/>
        <v>-9736</v>
      </c>
      <c r="BQ79" s="199">
        <f t="shared" si="70"/>
        <v>-0.27286035647068591</v>
      </c>
      <c r="BR79" s="205">
        <f t="shared" si="34"/>
        <v>-0.39359637774902978</v>
      </c>
      <c r="BV79" s="206"/>
      <c r="BW79" s="206">
        <f t="shared" si="71"/>
        <v>25460</v>
      </c>
      <c r="BX79" s="206">
        <f>(24313+17808)-19969</f>
        <v>22152</v>
      </c>
      <c r="BY79" s="206"/>
      <c r="BZ79" s="206">
        <f>(30616+22933+66931)-19969</f>
        <v>100511</v>
      </c>
      <c r="CA79" s="206">
        <f t="shared" si="40"/>
        <v>75775</v>
      </c>
      <c r="CB79" s="199">
        <f t="shared" si="72"/>
        <v>3.0633489650711514</v>
      </c>
      <c r="CC79" s="206">
        <f>25273+18296</f>
        <v>43569</v>
      </c>
      <c r="CD79" s="206">
        <f>26636+18917</f>
        <v>45553</v>
      </c>
      <c r="CE79" s="206">
        <v>38966</v>
      </c>
      <c r="CF79" s="206">
        <v>38966</v>
      </c>
      <c r="CG79" s="206">
        <f t="shared" si="73"/>
        <v>-61545</v>
      </c>
      <c r="CH79" s="304">
        <f t="shared" si="74"/>
        <v>-0.61232103948821526</v>
      </c>
      <c r="CI79" s="206">
        <v>0</v>
      </c>
      <c r="CJ79" s="206"/>
      <c r="CK79" s="206">
        <f t="shared" si="75"/>
        <v>0</v>
      </c>
      <c r="CL79" s="206">
        <f t="shared" si="95"/>
        <v>-38966</v>
      </c>
      <c r="CM79" s="608">
        <f t="shared" si="76"/>
        <v>-1</v>
      </c>
      <c r="CN79" s="206">
        <v>50179</v>
      </c>
      <c r="CO79" s="206">
        <f t="shared" si="96"/>
        <v>50179</v>
      </c>
      <c r="CP79" s="199" t="e">
        <f t="shared" si="97"/>
        <v>#DIV/0!</v>
      </c>
    </row>
    <row r="80" spans="1:95" s="317" customFormat="1" ht="18" customHeight="1" x14ac:dyDescent="0.25">
      <c r="A80" s="317" t="s">
        <v>195</v>
      </c>
      <c r="B80" s="310" t="s">
        <v>132</v>
      </c>
      <c r="C80" s="310" t="s">
        <v>132</v>
      </c>
      <c r="D80" s="310" t="s">
        <v>132</v>
      </c>
      <c r="E80" s="310" t="s">
        <v>132</v>
      </c>
      <c r="F80" s="310" t="s">
        <v>132</v>
      </c>
      <c r="G80" s="310" t="s">
        <v>132</v>
      </c>
      <c r="H80" s="310" t="s">
        <v>132</v>
      </c>
      <c r="I80" s="310" t="s">
        <v>132</v>
      </c>
      <c r="J80" s="310" t="s">
        <v>132</v>
      </c>
      <c r="K80" s="310" t="s">
        <v>132</v>
      </c>
      <c r="L80" s="310" t="s">
        <v>132</v>
      </c>
      <c r="M80" s="310" t="s">
        <v>132</v>
      </c>
      <c r="N80" s="310" t="s">
        <v>132</v>
      </c>
      <c r="O80" s="310" t="s">
        <v>132</v>
      </c>
      <c r="P80" s="310" t="s">
        <v>132</v>
      </c>
      <c r="Q80" s="310" t="s">
        <v>132</v>
      </c>
      <c r="R80" s="310" t="s">
        <v>132</v>
      </c>
      <c r="S80" s="310" t="s">
        <v>132</v>
      </c>
      <c r="T80" s="310" t="s">
        <v>132</v>
      </c>
      <c r="U80" s="613">
        <v>0</v>
      </c>
      <c r="V80" s="315"/>
      <c r="W80" s="395"/>
      <c r="X80" s="463">
        <v>0</v>
      </c>
      <c r="Y80" s="315">
        <f t="shared" si="92"/>
        <v>0</v>
      </c>
      <c r="Z80" s="577"/>
      <c r="AA80" s="423">
        <v>2500</v>
      </c>
      <c r="AB80" s="466">
        <f t="shared" si="94"/>
        <v>2500</v>
      </c>
      <c r="AC80" s="395" t="s">
        <v>132</v>
      </c>
      <c r="AD80" s="318">
        <v>0</v>
      </c>
      <c r="AE80" s="318"/>
      <c r="AF80" s="204"/>
      <c r="AG80" s="204">
        <f t="shared" si="62"/>
        <v>-2500</v>
      </c>
      <c r="AH80" s="304">
        <f t="shared" si="63"/>
        <v>-1</v>
      </c>
      <c r="AI80" s="317">
        <v>0</v>
      </c>
      <c r="AJ80" s="317">
        <v>0</v>
      </c>
      <c r="AM80" s="204">
        <f t="shared" si="64"/>
        <v>0</v>
      </c>
      <c r="AN80" s="317">
        <v>0</v>
      </c>
      <c r="AO80" s="66">
        <v>0</v>
      </c>
      <c r="AP80" s="413">
        <v>0</v>
      </c>
      <c r="AQ80" s="573">
        <v>0</v>
      </c>
      <c r="AR80" s="206">
        <f t="shared" si="83"/>
        <v>0</v>
      </c>
      <c r="AS80" s="203">
        <f t="shared" si="84"/>
        <v>0</v>
      </c>
      <c r="AT80" s="200">
        <f t="shared" si="85"/>
        <v>0</v>
      </c>
      <c r="AU80" s="199" t="e">
        <f t="shared" si="86"/>
        <v>#DIV/0!</v>
      </c>
      <c r="AV80" s="200">
        <f t="shared" si="65"/>
        <v>0</v>
      </c>
      <c r="AW80" s="199" t="e">
        <f t="shared" si="66"/>
        <v>#DIV/0!</v>
      </c>
      <c r="AX80" s="315"/>
      <c r="AY80" s="204">
        <f t="shared" si="27"/>
        <v>0</v>
      </c>
      <c r="AZ80" s="304" t="e">
        <f t="shared" si="28"/>
        <v>#DIV/0!</v>
      </c>
      <c r="BA80" s="304"/>
      <c r="BB80" s="304"/>
      <c r="BC80" s="560">
        <f t="shared" si="87"/>
        <v>0</v>
      </c>
      <c r="BD80" s="304"/>
      <c r="BE80" s="315"/>
      <c r="BF80" s="204">
        <f t="shared" si="67"/>
        <v>0</v>
      </c>
      <c r="BG80" s="304" t="e">
        <f t="shared" si="68"/>
        <v>#DIV/0!</v>
      </c>
      <c r="BH80" s="200"/>
      <c r="BI80" s="200"/>
      <c r="BJ80" s="200"/>
      <c r="BK80" s="200"/>
      <c r="BL80" s="206">
        <f t="shared" si="31"/>
        <v>0</v>
      </c>
      <c r="BM80" s="206">
        <f t="shared" si="69"/>
        <v>0</v>
      </c>
      <c r="BN80" s="206">
        <v>0</v>
      </c>
      <c r="BO80" s="206"/>
      <c r="BP80" s="206">
        <f t="shared" ref="BP80:BP144" si="98">BO80-BE80</f>
        <v>0</v>
      </c>
      <c r="BQ80" s="199" t="e">
        <f t="shared" si="70"/>
        <v>#DIV/0!</v>
      </c>
      <c r="BR80" s="205" t="e">
        <f t="shared" ref="BR80:BR144" si="99">BP80/BE80</f>
        <v>#DIV/0!</v>
      </c>
      <c r="BS80" s="413"/>
      <c r="BV80" s="413"/>
      <c r="BW80" s="206">
        <f t="shared" si="71"/>
        <v>0</v>
      </c>
      <c r="BX80" s="206">
        <v>0</v>
      </c>
      <c r="BY80" s="206"/>
      <c r="BZ80" s="206">
        <f t="shared" si="89"/>
        <v>0</v>
      </c>
      <c r="CA80" s="206">
        <f t="shared" ref="CA80:CA142" si="100">BZ80-BE80</f>
        <v>0</v>
      </c>
      <c r="CB80" s="199" t="e">
        <f t="shared" si="72"/>
        <v>#DIV/0!</v>
      </c>
      <c r="CC80" s="413"/>
      <c r="CD80" s="413"/>
      <c r="CE80" s="413"/>
      <c r="CF80" s="206">
        <f t="shared" si="90"/>
        <v>0</v>
      </c>
      <c r="CG80" s="206">
        <f t="shared" si="73"/>
        <v>0</v>
      </c>
      <c r="CH80" s="304" t="e">
        <f t="shared" si="74"/>
        <v>#DIV/0!</v>
      </c>
      <c r="CI80" s="413"/>
      <c r="CJ80" s="413"/>
      <c r="CK80" s="413">
        <f t="shared" si="75"/>
        <v>0</v>
      </c>
      <c r="CL80" s="206">
        <f t="shared" si="95"/>
        <v>0</v>
      </c>
      <c r="CM80" s="608" t="e">
        <f t="shared" si="76"/>
        <v>#DIV/0!</v>
      </c>
      <c r="CN80" s="413">
        <v>0</v>
      </c>
      <c r="CO80" s="206">
        <f t="shared" si="96"/>
        <v>0</v>
      </c>
      <c r="CP80" s="199" t="e">
        <f t="shared" si="97"/>
        <v>#DIV/0!</v>
      </c>
    </row>
    <row r="81" spans="1:94" s="211" customFormat="1" ht="18" customHeight="1" thickBot="1" x14ac:dyDescent="0.3">
      <c r="A81" s="325" t="s">
        <v>196</v>
      </c>
      <c r="B81" s="326" t="s">
        <v>132</v>
      </c>
      <c r="C81" s="326" t="s">
        <v>132</v>
      </c>
      <c r="D81" s="326" t="s">
        <v>132</v>
      </c>
      <c r="E81" s="326" t="s">
        <v>132</v>
      </c>
      <c r="F81" s="326" t="s">
        <v>132</v>
      </c>
      <c r="G81" s="326" t="s">
        <v>132</v>
      </c>
      <c r="H81" s="326" t="s">
        <v>132</v>
      </c>
      <c r="I81" s="326" t="s">
        <v>132</v>
      </c>
      <c r="J81" s="326" t="s">
        <v>132</v>
      </c>
      <c r="K81" s="326" t="s">
        <v>132</v>
      </c>
      <c r="L81" s="326" t="s">
        <v>132</v>
      </c>
      <c r="M81" s="326" t="s">
        <v>132</v>
      </c>
      <c r="N81" s="326" t="s">
        <v>132</v>
      </c>
      <c r="O81" s="326" t="s">
        <v>132</v>
      </c>
      <c r="P81" s="326" t="s">
        <v>132</v>
      </c>
      <c r="Q81" s="326" t="s">
        <v>132</v>
      </c>
      <c r="R81" s="326" t="s">
        <v>132</v>
      </c>
      <c r="S81" s="326" t="s">
        <v>132</v>
      </c>
      <c r="T81" s="326" t="s">
        <v>132</v>
      </c>
      <c r="X81" s="592"/>
      <c r="Y81" s="593"/>
      <c r="Z81" s="594"/>
      <c r="AA81" s="428"/>
      <c r="AB81" s="327"/>
      <c r="AC81" s="334"/>
      <c r="AD81" s="211">
        <v>0</v>
      </c>
      <c r="AE81" s="211">
        <v>23000</v>
      </c>
      <c r="AF81" s="327">
        <v>0</v>
      </c>
      <c r="AG81" s="327">
        <f t="shared" si="62"/>
        <v>0</v>
      </c>
      <c r="AH81" s="328" t="e">
        <f t="shared" si="63"/>
        <v>#DIV/0!</v>
      </c>
      <c r="AI81" s="331">
        <f>AF81</f>
        <v>0</v>
      </c>
      <c r="AJ81" s="331">
        <f>AF81</f>
        <v>0</v>
      </c>
      <c r="AM81" s="327">
        <f t="shared" si="64"/>
        <v>0</v>
      </c>
      <c r="AN81" s="211">
        <v>0</v>
      </c>
      <c r="AO81" s="211">
        <v>23000</v>
      </c>
      <c r="AP81" s="333">
        <v>0</v>
      </c>
      <c r="AQ81" s="333">
        <v>0</v>
      </c>
      <c r="AR81" s="333">
        <f t="shared" si="83"/>
        <v>0</v>
      </c>
      <c r="AS81" s="428">
        <f t="shared" si="84"/>
        <v>20787.692579999999</v>
      </c>
      <c r="AT81" s="331">
        <f t="shared" si="85"/>
        <v>20787.692579999999</v>
      </c>
      <c r="AU81" s="212" t="e">
        <f t="shared" si="86"/>
        <v>#DIV/0!</v>
      </c>
      <c r="AV81" s="331">
        <f t="shared" si="65"/>
        <v>20787.692579999999</v>
      </c>
      <c r="AW81" s="212" t="e">
        <f t="shared" si="66"/>
        <v>#DIV/0!</v>
      </c>
      <c r="AX81" s="327">
        <v>23000</v>
      </c>
      <c r="AY81" s="327">
        <f t="shared" ref="AY81:AY142" si="101">AX81-AF81</f>
        <v>23000</v>
      </c>
      <c r="AZ81" s="328" t="e">
        <f t="shared" ref="AZ81:AZ142" si="102">AY81/AF81</f>
        <v>#DIV/0!</v>
      </c>
      <c r="BA81" s="595">
        <v>23000</v>
      </c>
      <c r="BB81" s="595">
        <v>20787.692579999999</v>
      </c>
      <c r="BC81" s="595">
        <f t="shared" si="87"/>
        <v>2212.307420000001</v>
      </c>
      <c r="BD81" s="328">
        <f t="shared" si="88"/>
        <v>9.618727913043483E-2</v>
      </c>
      <c r="BE81" s="327">
        <v>22302</v>
      </c>
      <c r="BF81" s="327">
        <f t="shared" si="67"/>
        <v>-698</v>
      </c>
      <c r="BG81" s="328">
        <f t="shared" si="68"/>
        <v>-3.0347826086956523E-2</v>
      </c>
      <c r="BH81" s="331"/>
      <c r="BI81" s="331"/>
      <c r="BJ81" s="331"/>
      <c r="BK81" s="331"/>
      <c r="BL81" s="333">
        <f t="shared" ref="BL81:BL142" si="103">BE81+BH81+BI81+BJ81+BK81</f>
        <v>22302</v>
      </c>
      <c r="BM81" s="333">
        <f t="shared" si="69"/>
        <v>1514.307420000001</v>
      </c>
      <c r="BN81" s="333">
        <v>23000</v>
      </c>
      <c r="BO81" s="211">
        <v>23000</v>
      </c>
      <c r="BP81" s="333">
        <f t="shared" si="98"/>
        <v>698</v>
      </c>
      <c r="BQ81" s="212">
        <f t="shared" si="70"/>
        <v>7.2846344738469335E-2</v>
      </c>
      <c r="BR81" s="334">
        <f t="shared" si="99"/>
        <v>3.1297641467132993E-2</v>
      </c>
      <c r="BS81" s="333"/>
      <c r="BV81" s="333"/>
      <c r="BW81" s="333">
        <f t="shared" si="71"/>
        <v>23000</v>
      </c>
      <c r="BX81" s="333">
        <v>23000</v>
      </c>
      <c r="BY81" s="333"/>
      <c r="BZ81" s="333">
        <v>23290</v>
      </c>
      <c r="CA81" s="333">
        <f t="shared" si="100"/>
        <v>988</v>
      </c>
      <c r="CB81" s="212">
        <f t="shared" si="72"/>
        <v>4.4300959555196841E-2</v>
      </c>
      <c r="CC81" s="333">
        <v>23000</v>
      </c>
      <c r="CD81" s="333">
        <v>23000</v>
      </c>
      <c r="CE81" s="333"/>
      <c r="CF81" s="333">
        <v>22343</v>
      </c>
      <c r="CG81" s="206">
        <f t="shared" si="73"/>
        <v>-947</v>
      </c>
      <c r="CH81" s="304">
        <f t="shared" si="74"/>
        <v>-4.0661227994847574E-2</v>
      </c>
      <c r="CI81" s="333">
        <v>25000</v>
      </c>
      <c r="CJ81" s="333"/>
      <c r="CK81" s="413">
        <f t="shared" si="75"/>
        <v>25000</v>
      </c>
      <c r="CL81" s="206">
        <f t="shared" si="95"/>
        <v>2657</v>
      </c>
      <c r="CM81" s="608">
        <f t="shared" si="76"/>
        <v>0.11891867699055633</v>
      </c>
      <c r="CN81" s="333">
        <v>28000</v>
      </c>
      <c r="CO81" s="783">
        <f t="shared" si="96"/>
        <v>3000</v>
      </c>
      <c r="CP81" s="784">
        <f t="shared" si="97"/>
        <v>0.12</v>
      </c>
    </row>
    <row r="82" spans="1:94" s="65" customFormat="1" ht="18" customHeight="1" x14ac:dyDescent="0.25">
      <c r="A82" s="363" t="s">
        <v>197</v>
      </c>
      <c r="B82" s="338">
        <f t="shared" ref="B82:I82" si="104">SUM(B59:B81)</f>
        <v>90495</v>
      </c>
      <c r="C82" s="338">
        <f t="shared" si="104"/>
        <v>107152</v>
      </c>
      <c r="D82" s="343">
        <f t="shared" si="77"/>
        <v>16657</v>
      </c>
      <c r="E82" s="614">
        <f>(C82-B82)/B82</f>
        <v>0.18406541797889386</v>
      </c>
      <c r="F82" s="338">
        <f t="shared" si="104"/>
        <v>114224</v>
      </c>
      <c r="G82" s="338">
        <f t="shared" si="78"/>
        <v>7072</v>
      </c>
      <c r="H82" s="339">
        <f>(F82-C82)/C82</f>
        <v>6.5999701358817386E-2</v>
      </c>
      <c r="I82" s="338">
        <f t="shared" si="104"/>
        <v>134944</v>
      </c>
      <c r="J82" s="338">
        <f t="shared" si="79"/>
        <v>20720</v>
      </c>
      <c r="K82" s="339">
        <f>(I82-F82)/F82</f>
        <v>0.18139795489564364</v>
      </c>
      <c r="L82" s="338">
        <f>SUM(L59:L81)</f>
        <v>151305</v>
      </c>
      <c r="M82" s="338">
        <v>5290</v>
      </c>
      <c r="N82" s="342">
        <v>3.6575332047319768E-2</v>
      </c>
      <c r="O82" s="338">
        <f>SUM(O59:O81)</f>
        <v>197591</v>
      </c>
      <c r="P82" s="338">
        <f t="shared" si="91"/>
        <v>46286</v>
      </c>
      <c r="Q82" s="342">
        <f t="shared" si="55"/>
        <v>0.30591189980502959</v>
      </c>
      <c r="R82" s="338">
        <f>SUM(R59:R81)</f>
        <v>251763</v>
      </c>
      <c r="S82" s="338">
        <f t="shared" si="56"/>
        <v>54172</v>
      </c>
      <c r="T82" s="342">
        <f t="shared" si="57"/>
        <v>0.2741622847194457</v>
      </c>
      <c r="U82" s="338">
        <f>SUM(U59:U81)</f>
        <v>373310</v>
      </c>
      <c r="V82" s="338" t="e">
        <f>SUM(V59:V80)</f>
        <v>#VALUE!</v>
      </c>
      <c r="W82" s="342" t="e">
        <f>V82/R82</f>
        <v>#VALUE!</v>
      </c>
      <c r="X82" s="338">
        <f>SUM(X59:X81)</f>
        <v>403260</v>
      </c>
      <c r="Y82" s="338">
        <f>X82-U82</f>
        <v>29950</v>
      </c>
      <c r="Z82" s="597">
        <f>Y82/U82</f>
        <v>8.0228228549998656E-2</v>
      </c>
      <c r="AA82" s="338">
        <f>SUM(AA59:AA81)</f>
        <v>391021</v>
      </c>
      <c r="AB82" s="615">
        <f>AA82-X82</f>
        <v>-12239</v>
      </c>
      <c r="AC82" s="468">
        <f>AB82/X82</f>
        <v>-3.0350146307593116E-2</v>
      </c>
      <c r="AD82" s="338">
        <f>SUM(AD59:AD81)+6500</f>
        <v>136931</v>
      </c>
      <c r="AE82" s="338">
        <f>SUM(AE59:AE81)</f>
        <v>187581</v>
      </c>
      <c r="AF82" s="338">
        <f>SUM(AF59:AF81)</f>
        <v>265865</v>
      </c>
      <c r="AG82" s="338">
        <f>AF82-AA82</f>
        <v>-125156</v>
      </c>
      <c r="AH82" s="342">
        <f>AG82/AA82</f>
        <v>-0.32007488088875025</v>
      </c>
      <c r="AI82" s="338">
        <f t="shared" ref="AI82:AN82" si="105">SUM(AI59:AI81)</f>
        <v>272088</v>
      </c>
      <c r="AJ82" s="338">
        <f t="shared" si="105"/>
        <v>268401</v>
      </c>
      <c r="AK82" s="401">
        <f t="shared" si="105"/>
        <v>96729</v>
      </c>
      <c r="AL82" s="401">
        <f t="shared" si="105"/>
        <v>40131</v>
      </c>
      <c r="AM82" s="338">
        <f t="shared" si="105"/>
        <v>136860</v>
      </c>
      <c r="AN82" s="338">
        <f t="shared" si="105"/>
        <v>102735</v>
      </c>
      <c r="AO82" s="363">
        <f>SUM(AO59:AO81)</f>
        <v>262932</v>
      </c>
      <c r="AP82" s="352">
        <f>SUM(AP59:AP81)</f>
        <v>19495</v>
      </c>
      <c r="AQ82" s="352">
        <f>SUM(AQ59:AQ81)</f>
        <v>2148</v>
      </c>
      <c r="AR82" s="352">
        <f t="shared" si="83"/>
        <v>21643</v>
      </c>
      <c r="AS82" s="401">
        <f>BB82+AR82</f>
        <v>277041.65783000004</v>
      </c>
      <c r="AT82" s="401">
        <f t="shared" si="85"/>
        <v>11176.65783000004</v>
      </c>
      <c r="AU82" s="339">
        <f t="shared" si="86"/>
        <v>4.2038846143719708E-2</v>
      </c>
      <c r="AV82" s="363">
        <f t="shared" si="65"/>
        <v>11176.65783000004</v>
      </c>
      <c r="AW82" s="339">
        <f t="shared" si="66"/>
        <v>4.2038846143719708E-2</v>
      </c>
      <c r="AX82" s="338">
        <f>SUM(AX59:AX81)</f>
        <v>285903</v>
      </c>
      <c r="AY82" s="338">
        <f t="shared" si="101"/>
        <v>20038</v>
      </c>
      <c r="AZ82" s="342">
        <f t="shared" si="102"/>
        <v>7.5369078291614169E-2</v>
      </c>
      <c r="BA82" s="342"/>
      <c r="BB82" s="401">
        <f>SUM(BB59:BB81)</f>
        <v>255398.65783000004</v>
      </c>
      <c r="BC82" s="342"/>
      <c r="BD82" s="342"/>
      <c r="BE82" s="338">
        <f>SUM(BE59:BE81)</f>
        <v>239072</v>
      </c>
      <c r="BF82" s="338">
        <f t="shared" si="67"/>
        <v>-46831</v>
      </c>
      <c r="BG82" s="342">
        <f t="shared" si="68"/>
        <v>-0.16380030989531413</v>
      </c>
      <c r="BH82" s="401">
        <f>SUM(BH59:BH81)</f>
        <v>17094</v>
      </c>
      <c r="BI82" s="401"/>
      <c r="BJ82" s="401"/>
      <c r="BK82" s="401">
        <f>SUM(BK59:BK81)</f>
        <v>797</v>
      </c>
      <c r="BL82" s="352">
        <f t="shared" si="103"/>
        <v>256963</v>
      </c>
      <c r="BM82" s="352">
        <f t="shared" si="69"/>
        <v>-20078.65783000004</v>
      </c>
      <c r="BN82" s="352">
        <f>SUM(BN59:BN81)</f>
        <v>297349</v>
      </c>
      <c r="BO82" s="352">
        <f>SUM(BO59:BO81)</f>
        <v>291790</v>
      </c>
      <c r="BP82" s="352">
        <f t="shared" si="98"/>
        <v>52718</v>
      </c>
      <c r="BQ82" s="339">
        <f t="shared" si="70"/>
        <v>-7.247522985269178E-2</v>
      </c>
      <c r="BR82" s="468">
        <f t="shared" si="99"/>
        <v>0.22051097577298889</v>
      </c>
      <c r="BS82" s="352">
        <f>SUM(BS59:BS81)</f>
        <v>27392</v>
      </c>
      <c r="BT82" s="363"/>
      <c r="BU82" s="363"/>
      <c r="BV82" s="352">
        <f>SUM(BV59:BV81)</f>
        <v>538</v>
      </c>
      <c r="BW82" s="352">
        <f t="shared" si="71"/>
        <v>325279</v>
      </c>
      <c r="BX82" s="352">
        <f>SUM(BX59:BX81)</f>
        <v>318911</v>
      </c>
      <c r="BY82" s="352"/>
      <c r="BZ82" s="352">
        <f>SUM(BZ59:BZ81)</f>
        <v>353491</v>
      </c>
      <c r="CA82" s="352">
        <f t="shared" si="100"/>
        <v>114419</v>
      </c>
      <c r="CB82" s="339">
        <f t="shared" si="72"/>
        <v>0.4785964061036006</v>
      </c>
      <c r="CC82" s="352">
        <f>SUM(CC59:CC81)</f>
        <v>370977</v>
      </c>
      <c r="CD82" s="352">
        <f>SUM(CD59:CD81)</f>
        <v>389147</v>
      </c>
      <c r="CE82" s="352">
        <f>SUM(CE59:CE81)</f>
        <v>36381</v>
      </c>
      <c r="CF82" s="368">
        <f>CD82+CE82</f>
        <v>425528</v>
      </c>
      <c r="CG82" s="600">
        <f t="shared" si="73"/>
        <v>72037</v>
      </c>
      <c r="CH82" s="601">
        <f t="shared" si="74"/>
        <v>0.2037873665807616</v>
      </c>
      <c r="CI82" s="368">
        <f t="shared" ref="CI82" si="106">SUM(CI59:CI81)</f>
        <v>373645</v>
      </c>
      <c r="CJ82" s="368"/>
      <c r="CK82" s="206">
        <f t="shared" si="75"/>
        <v>373645</v>
      </c>
      <c r="CL82" s="368">
        <f t="shared" si="95"/>
        <v>-51883</v>
      </c>
      <c r="CM82" s="616">
        <f t="shared" si="76"/>
        <v>-0.12192617172077982</v>
      </c>
      <c r="CN82" s="368">
        <f>SUM(CN59:CN81)</f>
        <v>423346</v>
      </c>
      <c r="CO82" s="368">
        <f t="shared" si="96"/>
        <v>49701</v>
      </c>
      <c r="CP82" s="406">
        <f t="shared" si="97"/>
        <v>0.1330166334354802</v>
      </c>
    </row>
    <row r="83" spans="1:94" s="65" customFormat="1" ht="18" customHeight="1" x14ac:dyDescent="0.25">
      <c r="A83" s="335" t="s">
        <v>511</v>
      </c>
      <c r="D83" s="416"/>
      <c r="E83" s="563"/>
      <c r="G83" s="204"/>
      <c r="H83" s="199"/>
      <c r="J83" s="204"/>
      <c r="K83" s="199"/>
      <c r="L83" s="358"/>
      <c r="M83" s="358"/>
      <c r="N83" s="356"/>
      <c r="O83" s="358"/>
      <c r="P83" s="358"/>
      <c r="Q83" s="356"/>
      <c r="R83" s="358"/>
      <c r="S83" s="358"/>
      <c r="T83" s="356"/>
      <c r="U83" s="358"/>
      <c r="V83" s="358"/>
      <c r="W83" s="356"/>
      <c r="X83" s="358"/>
      <c r="Y83" s="358"/>
      <c r="Z83" s="605"/>
      <c r="AA83" s="358"/>
      <c r="AB83" s="366"/>
      <c r="AC83" s="367"/>
      <c r="AD83" s="358">
        <v>6500</v>
      </c>
      <c r="AE83" s="358"/>
      <c r="AF83" s="358"/>
      <c r="AG83" s="204"/>
      <c r="AH83" s="304"/>
      <c r="AI83" s="358"/>
      <c r="AJ83" s="358"/>
      <c r="AK83" s="200"/>
      <c r="AL83" s="200"/>
      <c r="AM83" s="204"/>
      <c r="AN83" s="204"/>
      <c r="AT83" s="365"/>
      <c r="AU83" s="199"/>
      <c r="AW83" s="406"/>
      <c r="AX83" s="358"/>
      <c r="AY83" s="204"/>
      <c r="AZ83" s="304"/>
      <c r="BA83" s="304"/>
      <c r="BB83" s="304"/>
      <c r="BC83" s="304"/>
      <c r="BD83" s="304"/>
      <c r="BE83" s="358"/>
      <c r="BF83" s="204"/>
      <c r="BG83" s="304"/>
      <c r="BH83" s="200"/>
      <c r="BI83" s="200"/>
      <c r="BJ83" s="200"/>
      <c r="BK83" s="200"/>
      <c r="BL83" s="206"/>
      <c r="BM83" s="206"/>
      <c r="BN83" s="206"/>
      <c r="BO83" s="206"/>
      <c r="BP83" s="206">
        <f t="shared" si="98"/>
        <v>0</v>
      </c>
      <c r="BQ83" s="199"/>
      <c r="BR83" s="205" t="e">
        <f t="shared" si="99"/>
        <v>#DIV/0!</v>
      </c>
      <c r="BS83" s="368"/>
      <c r="BW83" s="207">
        <f t="shared" si="71"/>
        <v>0</v>
      </c>
      <c r="BX83" s="206"/>
      <c r="BY83" s="206"/>
      <c r="BZ83" s="206"/>
      <c r="CA83" s="206"/>
      <c r="CB83" s="199"/>
      <c r="CC83" s="368"/>
      <c r="CD83" s="368"/>
      <c r="CE83" s="368"/>
      <c r="CF83" s="368">
        <v>3798</v>
      </c>
      <c r="CG83" s="206"/>
      <c r="CH83" s="356"/>
      <c r="CI83" s="368"/>
      <c r="CJ83" s="368"/>
      <c r="CK83" s="368">
        <f>CK82-CK79-CK65-CK64-CK66</f>
        <v>216785</v>
      </c>
      <c r="CL83" s="206"/>
      <c r="CM83" s="356"/>
      <c r="CN83" s="368">
        <f>CN82-CN79-CN65-CN64-CN66</f>
        <v>211176</v>
      </c>
      <c r="CO83" s="206">
        <f t="shared" si="96"/>
        <v>-5609</v>
      </c>
      <c r="CP83" s="304">
        <f t="shared" si="97"/>
        <v>-2.5873561362640404E-2</v>
      </c>
    </row>
    <row r="84" spans="1:94" s="65" customFormat="1" ht="18" customHeight="1" x14ac:dyDescent="0.25">
      <c r="A84" s="363"/>
      <c r="D84" s="416"/>
      <c r="E84" s="563"/>
      <c r="G84" s="204"/>
      <c r="H84" s="199"/>
      <c r="J84" s="204"/>
      <c r="K84" s="199"/>
      <c r="L84" s="358"/>
      <c r="M84" s="358"/>
      <c r="N84" s="356"/>
      <c r="O84" s="358"/>
      <c r="P84" s="358"/>
      <c r="Q84" s="356"/>
      <c r="R84" s="358"/>
      <c r="S84" s="358"/>
      <c r="T84" s="356"/>
      <c r="U84" s="358"/>
      <c r="V84" s="358"/>
      <c r="W84" s="356"/>
      <c r="X84" s="358"/>
      <c r="Y84" s="358"/>
      <c r="Z84" s="605"/>
      <c r="AA84" s="358"/>
      <c r="AB84" s="366"/>
      <c r="AC84" s="367"/>
      <c r="AD84" s="358">
        <f>AD83+AD82</f>
        <v>143431</v>
      </c>
      <c r="AE84" s="358"/>
      <c r="AF84" s="358"/>
      <c r="AG84" s="204"/>
      <c r="AH84" s="304"/>
      <c r="AI84" s="358"/>
      <c r="AJ84" s="358"/>
      <c r="AK84" s="200"/>
      <c r="AL84" s="200"/>
      <c r="AM84" s="204"/>
      <c r="AN84" s="204"/>
      <c r="AT84" s="365"/>
      <c r="AU84" s="199"/>
      <c r="AV84" s="358">
        <f>AS82-AF84</f>
        <v>277041.65783000004</v>
      </c>
      <c r="AW84" s="406" t="e">
        <f>AV84/AF84</f>
        <v>#DIV/0!</v>
      </c>
      <c r="AX84" s="358"/>
      <c r="AY84" s="204"/>
      <c r="AZ84" s="304"/>
      <c r="BA84" s="304"/>
      <c r="BB84" s="304"/>
      <c r="BC84" s="304"/>
      <c r="BD84" s="304"/>
      <c r="BE84" s="358"/>
      <c r="BF84" s="204"/>
      <c r="BG84" s="304"/>
      <c r="BH84" s="200"/>
      <c r="BI84" s="200"/>
      <c r="BJ84" s="200"/>
      <c r="BK84" s="200"/>
      <c r="BL84" s="206"/>
      <c r="BM84" s="206"/>
      <c r="BN84" s="206"/>
      <c r="BO84" s="206"/>
      <c r="BP84" s="206">
        <f t="shared" si="98"/>
        <v>0</v>
      </c>
      <c r="BQ84" s="199"/>
      <c r="BR84" s="205" t="e">
        <f t="shared" si="99"/>
        <v>#DIV/0!</v>
      </c>
      <c r="BS84" s="368"/>
      <c r="BW84" s="207">
        <f t="shared" si="71"/>
        <v>0</v>
      </c>
      <c r="BX84" s="206"/>
      <c r="BY84" s="206"/>
      <c r="BZ84" s="206"/>
      <c r="CA84" s="206"/>
      <c r="CB84" s="199"/>
      <c r="CC84" s="368"/>
      <c r="CD84" s="368"/>
      <c r="CE84" s="368"/>
      <c r="CF84" s="368"/>
      <c r="CG84" s="206"/>
      <c r="CH84" s="356"/>
      <c r="CL84" s="206"/>
      <c r="CM84" s="356"/>
      <c r="CO84" s="206"/>
      <c r="CP84" s="206"/>
    </row>
    <row r="85" spans="1:94" s="65" customFormat="1" ht="18" customHeight="1" x14ac:dyDescent="0.25">
      <c r="A85" s="363"/>
      <c r="D85" s="416"/>
      <c r="E85" s="563"/>
      <c r="G85" s="204"/>
      <c r="H85" s="199"/>
      <c r="J85" s="204"/>
      <c r="K85" s="199"/>
      <c r="L85" s="358"/>
      <c r="M85" s="358"/>
      <c r="N85" s="356"/>
      <c r="O85" s="358"/>
      <c r="P85" s="358"/>
      <c r="Q85" s="356"/>
      <c r="R85" s="358"/>
      <c r="S85" s="204"/>
      <c r="T85" s="304"/>
      <c r="U85" s="204"/>
      <c r="V85" s="204"/>
      <c r="W85" s="304"/>
      <c r="X85" s="403"/>
      <c r="Y85" s="404"/>
      <c r="Z85" s="605"/>
      <c r="AA85" s="203"/>
      <c r="AB85" s="374"/>
      <c r="AC85" s="367"/>
      <c r="AD85" s="65" t="s">
        <v>198</v>
      </c>
      <c r="AF85" s="358"/>
      <c r="AG85" s="358"/>
      <c r="AX85" s="358"/>
      <c r="AY85" s="204"/>
      <c r="AZ85" s="304"/>
      <c r="BA85" s="304"/>
      <c r="BB85" s="304"/>
      <c r="BC85" s="304"/>
      <c r="BD85" s="304"/>
      <c r="BE85" s="358"/>
      <c r="BF85" s="204"/>
      <c r="BG85" s="304"/>
      <c r="BH85" s="200"/>
      <c r="BI85" s="200"/>
      <c r="BJ85" s="200"/>
      <c r="BK85" s="200"/>
      <c r="BL85" s="206"/>
      <c r="BM85" s="206"/>
      <c r="BN85" s="206"/>
      <c r="BO85" s="206"/>
      <c r="BP85" s="206">
        <f t="shared" si="98"/>
        <v>0</v>
      </c>
      <c r="BQ85" s="199"/>
      <c r="BR85" s="205" t="e">
        <f t="shared" si="99"/>
        <v>#DIV/0!</v>
      </c>
      <c r="BS85" s="368"/>
      <c r="BW85" s="207">
        <f t="shared" si="71"/>
        <v>0</v>
      </c>
      <c r="BX85" s="206"/>
      <c r="BY85" s="206"/>
      <c r="BZ85" s="206"/>
      <c r="CA85" s="206"/>
      <c r="CB85" s="199"/>
      <c r="CC85" s="368"/>
      <c r="CD85" s="368"/>
      <c r="CE85" s="368"/>
      <c r="CF85" s="368"/>
      <c r="CG85" s="206"/>
      <c r="CH85" s="356"/>
      <c r="CL85" s="206"/>
      <c r="CM85" s="356"/>
      <c r="CO85" s="206"/>
      <c r="CP85" s="206"/>
    </row>
    <row r="86" spans="1:94" s="65" customFormat="1" ht="18" customHeight="1" x14ac:dyDescent="0.25">
      <c r="A86" s="373" t="s">
        <v>199</v>
      </c>
      <c r="D86" s="416"/>
      <c r="E86" s="563"/>
      <c r="G86" s="204"/>
      <c r="H86" s="199"/>
      <c r="J86" s="204"/>
      <c r="K86" s="199"/>
      <c r="L86" s="358"/>
      <c r="M86" s="358"/>
      <c r="N86" s="356"/>
      <c r="O86" s="358"/>
      <c r="P86" s="358"/>
      <c r="Q86" s="356"/>
      <c r="R86" s="358"/>
      <c r="S86" s="204"/>
      <c r="T86" s="304"/>
      <c r="U86" s="204"/>
      <c r="V86" s="204"/>
      <c r="W86" s="304"/>
      <c r="X86" s="403"/>
      <c r="Y86" s="404"/>
      <c r="Z86" s="605"/>
      <c r="AA86" s="203"/>
      <c r="AB86" s="374"/>
      <c r="AC86" s="367"/>
      <c r="AD86" s="358"/>
      <c r="AF86" s="358"/>
      <c r="AG86" s="358"/>
      <c r="AH86" s="358"/>
      <c r="AV86" s="365"/>
      <c r="AX86" s="358"/>
      <c r="AY86" s="204"/>
      <c r="AZ86" s="304"/>
      <c r="BA86" s="304"/>
      <c r="BB86" s="304"/>
      <c r="BC86" s="304"/>
      <c r="BD86" s="304"/>
      <c r="BE86" s="358"/>
      <c r="BF86" s="204"/>
      <c r="BG86" s="304"/>
      <c r="BH86" s="200"/>
      <c r="BI86" s="200"/>
      <c r="BJ86" s="200"/>
      <c r="BK86" s="200"/>
      <c r="BL86" s="206"/>
      <c r="BM86" s="206"/>
      <c r="BN86" s="206"/>
      <c r="BO86" s="206"/>
      <c r="BP86" s="206">
        <f t="shared" si="98"/>
        <v>0</v>
      </c>
      <c r="BQ86" s="199"/>
      <c r="BR86" s="205" t="e">
        <f t="shared" si="99"/>
        <v>#DIV/0!</v>
      </c>
      <c r="BS86" s="368"/>
      <c r="BW86" s="207">
        <f t="shared" si="71"/>
        <v>0</v>
      </c>
      <c r="BX86" s="206"/>
      <c r="BY86" s="206"/>
      <c r="BZ86" s="206"/>
      <c r="CA86" s="206"/>
      <c r="CB86" s="199"/>
      <c r="CC86" s="368"/>
      <c r="CD86" s="368"/>
      <c r="CE86" s="368"/>
      <c r="CF86" s="368"/>
      <c r="CG86" s="206"/>
      <c r="CH86" s="356"/>
      <c r="CL86" s="206"/>
      <c r="CM86" s="356"/>
      <c r="CO86" s="206"/>
      <c r="CP86" s="206"/>
    </row>
    <row r="87" spans="1:94" s="65" customFormat="1" ht="18" customHeight="1" x14ac:dyDescent="0.25">
      <c r="A87" s="373" t="s">
        <v>200</v>
      </c>
      <c r="D87" s="416"/>
      <c r="E87" s="563"/>
      <c r="G87" s="204"/>
      <c r="H87" s="199"/>
      <c r="J87" s="204"/>
      <c r="K87" s="199"/>
      <c r="L87" s="358"/>
      <c r="M87" s="358"/>
      <c r="N87" s="356"/>
      <c r="O87" s="358"/>
      <c r="P87" s="358"/>
      <c r="Q87" s="356"/>
      <c r="R87" s="358"/>
      <c r="S87" s="204"/>
      <c r="T87" s="304"/>
      <c r="U87" s="204"/>
      <c r="V87" s="204"/>
      <c r="W87" s="304"/>
      <c r="X87" s="403"/>
      <c r="Y87" s="404"/>
      <c r="Z87" s="605"/>
      <c r="AA87" s="203"/>
      <c r="AB87" s="374"/>
      <c r="AC87" s="367"/>
      <c r="AF87" s="358"/>
      <c r="AG87" s="358"/>
      <c r="AV87" s="365"/>
      <c r="AX87" s="358"/>
      <c r="AY87" s="204"/>
      <c r="AZ87" s="304"/>
      <c r="BA87" s="304"/>
      <c r="BB87" s="304"/>
      <c r="BC87" s="304"/>
      <c r="BD87" s="304"/>
      <c r="BE87" s="358"/>
      <c r="BF87" s="204"/>
      <c r="BG87" s="304"/>
      <c r="BH87" s="200"/>
      <c r="BI87" s="200"/>
      <c r="BJ87" s="200"/>
      <c r="BK87" s="200"/>
      <c r="BL87" s="206"/>
      <c r="BM87" s="206"/>
      <c r="BN87" s="206"/>
      <c r="BO87" s="206"/>
      <c r="BP87" s="206">
        <f t="shared" si="98"/>
        <v>0</v>
      </c>
      <c r="BQ87" s="199"/>
      <c r="BR87" s="205" t="e">
        <f t="shared" si="99"/>
        <v>#DIV/0!</v>
      </c>
      <c r="BS87" s="368"/>
      <c r="BW87" s="207">
        <f t="shared" si="71"/>
        <v>0</v>
      </c>
      <c r="BX87" s="206"/>
      <c r="BY87" s="206"/>
      <c r="BZ87" s="206"/>
      <c r="CA87" s="206"/>
      <c r="CB87" s="199"/>
      <c r="CC87" s="368"/>
      <c r="CD87" s="368"/>
      <c r="CE87" s="368"/>
      <c r="CF87" s="368"/>
      <c r="CG87" s="206"/>
      <c r="CH87" s="356"/>
      <c r="CL87" s="206"/>
      <c r="CM87" s="356"/>
      <c r="CO87" s="206"/>
      <c r="CP87" s="206"/>
    </row>
    <row r="88" spans="1:94" s="65" customFormat="1" ht="18" customHeight="1" x14ac:dyDescent="0.25">
      <c r="A88" s="373" t="s">
        <v>201</v>
      </c>
      <c r="D88" s="416"/>
      <c r="E88" s="563"/>
      <c r="G88" s="204"/>
      <c r="H88" s="199"/>
      <c r="J88" s="204"/>
      <c r="K88" s="199"/>
      <c r="L88" s="358"/>
      <c r="M88" s="358"/>
      <c r="N88" s="356"/>
      <c r="O88" s="358"/>
      <c r="P88" s="358"/>
      <c r="Q88" s="356"/>
      <c r="R88" s="358"/>
      <c r="S88" s="204"/>
      <c r="T88" s="304"/>
      <c r="U88" s="204"/>
      <c r="V88" s="204"/>
      <c r="W88" s="304"/>
      <c r="X88" s="403"/>
      <c r="Y88" s="404"/>
      <c r="Z88" s="605"/>
      <c r="AA88" s="203"/>
      <c r="AB88" s="374"/>
      <c r="AC88" s="367"/>
      <c r="AF88" s="358"/>
      <c r="AG88" s="358"/>
      <c r="AX88" s="358"/>
      <c r="AY88" s="204"/>
      <c r="AZ88" s="304"/>
      <c r="BA88" s="304"/>
      <c r="BB88" s="304"/>
      <c r="BC88" s="304"/>
      <c r="BD88" s="304"/>
      <c r="BE88" s="358"/>
      <c r="BF88" s="204"/>
      <c r="BG88" s="304"/>
      <c r="BH88" s="200"/>
      <c r="BI88" s="200"/>
      <c r="BJ88" s="200"/>
      <c r="BK88" s="200"/>
      <c r="BL88" s="206"/>
      <c r="BM88" s="206"/>
      <c r="BN88" s="206"/>
      <c r="BO88" s="206"/>
      <c r="BP88" s="206">
        <f t="shared" si="98"/>
        <v>0</v>
      </c>
      <c r="BQ88" s="199"/>
      <c r="BR88" s="205" t="e">
        <f t="shared" si="99"/>
        <v>#DIV/0!</v>
      </c>
      <c r="BS88" s="368"/>
      <c r="BW88" s="207">
        <f t="shared" si="71"/>
        <v>0</v>
      </c>
      <c r="BX88" s="206"/>
      <c r="BY88" s="206"/>
      <c r="BZ88" s="206"/>
      <c r="CA88" s="206"/>
      <c r="CB88" s="199"/>
      <c r="CC88" s="368"/>
      <c r="CD88" s="368"/>
      <c r="CE88" s="368"/>
      <c r="CF88" s="368"/>
      <c r="CG88" s="206"/>
      <c r="CH88" s="356"/>
      <c r="CL88" s="206"/>
      <c r="CM88" s="356"/>
      <c r="CO88" s="206"/>
      <c r="CP88" s="206"/>
    </row>
    <row r="89" spans="1:94" s="65" customFormat="1" ht="18" customHeight="1" x14ac:dyDescent="0.25">
      <c r="A89" s="373" t="s">
        <v>202</v>
      </c>
      <c r="D89" s="416"/>
      <c r="E89" s="563"/>
      <c r="G89" s="204"/>
      <c r="H89" s="199"/>
      <c r="J89" s="204"/>
      <c r="K89" s="199"/>
      <c r="L89" s="358"/>
      <c r="M89" s="358"/>
      <c r="N89" s="356"/>
      <c r="O89" s="358"/>
      <c r="P89" s="358"/>
      <c r="Q89" s="356"/>
      <c r="R89" s="358"/>
      <c r="S89" s="204"/>
      <c r="T89" s="304"/>
      <c r="U89" s="204"/>
      <c r="V89" s="204"/>
      <c r="W89" s="304"/>
      <c r="X89" s="403"/>
      <c r="Y89" s="404"/>
      <c r="Z89" s="605"/>
      <c r="AA89" s="203"/>
      <c r="AB89" s="374"/>
      <c r="AC89" s="367"/>
      <c r="AF89" s="358"/>
      <c r="AG89" s="358"/>
      <c r="AX89" s="358"/>
      <c r="AY89" s="204"/>
      <c r="AZ89" s="304"/>
      <c r="BA89" s="304"/>
      <c r="BB89" s="304"/>
      <c r="BC89" s="304"/>
      <c r="BD89" s="304"/>
      <c r="BE89" s="358"/>
      <c r="BF89" s="204"/>
      <c r="BG89" s="304"/>
      <c r="BH89" s="200"/>
      <c r="BI89" s="200"/>
      <c r="BJ89" s="200"/>
      <c r="BK89" s="200"/>
      <c r="BL89" s="206"/>
      <c r="BM89" s="206"/>
      <c r="BN89" s="206"/>
      <c r="BO89" s="206"/>
      <c r="BP89" s="206">
        <f t="shared" si="98"/>
        <v>0</v>
      </c>
      <c r="BQ89" s="199"/>
      <c r="BR89" s="205" t="e">
        <f t="shared" si="99"/>
        <v>#DIV/0!</v>
      </c>
      <c r="BS89" s="368"/>
      <c r="BW89" s="207">
        <f t="shared" si="71"/>
        <v>0</v>
      </c>
      <c r="BX89" s="206"/>
      <c r="BY89" s="206"/>
      <c r="BZ89" s="206"/>
      <c r="CA89" s="206"/>
      <c r="CB89" s="199"/>
      <c r="CC89" s="368"/>
      <c r="CD89" s="368"/>
      <c r="CE89" s="368"/>
      <c r="CF89" s="368"/>
      <c r="CG89" s="206"/>
      <c r="CH89" s="356"/>
      <c r="CL89" s="206"/>
      <c r="CM89" s="356"/>
      <c r="CO89" s="206"/>
      <c r="CP89" s="206"/>
    </row>
    <row r="90" spans="1:94" s="65" customFormat="1" ht="18" customHeight="1" x14ac:dyDescent="0.25">
      <c r="A90" s="373" t="s">
        <v>203</v>
      </c>
      <c r="D90" s="416"/>
      <c r="E90" s="563"/>
      <c r="G90" s="204"/>
      <c r="H90" s="199"/>
      <c r="J90" s="204"/>
      <c r="K90" s="199"/>
      <c r="L90" s="358"/>
      <c r="M90" s="358"/>
      <c r="N90" s="356"/>
      <c r="O90" s="358"/>
      <c r="P90" s="358"/>
      <c r="Q90" s="356"/>
      <c r="R90" s="358"/>
      <c r="S90" s="204"/>
      <c r="T90" s="304"/>
      <c r="U90" s="204"/>
      <c r="V90" s="204"/>
      <c r="W90" s="304"/>
      <c r="X90" s="403"/>
      <c r="Y90" s="404"/>
      <c r="Z90" s="605"/>
      <c r="AA90" s="203"/>
      <c r="AB90" s="374"/>
      <c r="AC90" s="367"/>
      <c r="AF90" s="358"/>
      <c r="AG90" s="358"/>
      <c r="AX90" s="358"/>
      <c r="AY90" s="204"/>
      <c r="AZ90" s="304"/>
      <c r="BA90" s="304"/>
      <c r="BB90" s="304"/>
      <c r="BC90" s="304"/>
      <c r="BD90" s="304"/>
      <c r="BE90" s="358"/>
      <c r="BF90" s="204"/>
      <c r="BG90" s="304"/>
      <c r="BH90" s="200"/>
      <c r="BI90" s="200"/>
      <c r="BJ90" s="200"/>
      <c r="BK90" s="200"/>
      <c r="BL90" s="206"/>
      <c r="BM90" s="206"/>
      <c r="BN90" s="206"/>
      <c r="BO90" s="206"/>
      <c r="BP90" s="206">
        <f t="shared" si="98"/>
        <v>0</v>
      </c>
      <c r="BQ90" s="199"/>
      <c r="BR90" s="205" t="e">
        <f t="shared" si="99"/>
        <v>#DIV/0!</v>
      </c>
      <c r="BS90" s="368"/>
      <c r="BW90" s="207">
        <f t="shared" si="71"/>
        <v>0</v>
      </c>
      <c r="BX90" s="206"/>
      <c r="BY90" s="206"/>
      <c r="BZ90" s="206"/>
      <c r="CA90" s="206"/>
      <c r="CB90" s="199"/>
      <c r="CC90" s="368"/>
      <c r="CD90" s="368"/>
      <c r="CE90" s="368"/>
      <c r="CF90" s="368"/>
      <c r="CG90" s="206"/>
      <c r="CH90" s="356"/>
      <c r="CL90" s="206"/>
      <c r="CM90" s="356"/>
      <c r="CO90" s="206"/>
      <c r="CP90" s="206"/>
    </row>
    <row r="91" spans="1:94" ht="18" customHeight="1" x14ac:dyDescent="0.25">
      <c r="A91" s="373"/>
      <c r="D91" s="416"/>
      <c r="E91" s="563"/>
      <c r="G91" s="204"/>
      <c r="J91" s="204"/>
      <c r="L91" s="317"/>
      <c r="M91" s="317"/>
      <c r="N91" s="316"/>
      <c r="O91" s="317"/>
      <c r="P91" s="317"/>
      <c r="Q91" s="316"/>
      <c r="R91" s="204"/>
      <c r="S91" s="204"/>
      <c r="T91" s="304"/>
      <c r="U91" s="204"/>
      <c r="V91" s="204"/>
      <c r="W91" s="304"/>
      <c r="AB91" s="374"/>
      <c r="BH91" s="200"/>
      <c r="BI91" s="200"/>
      <c r="BJ91" s="200"/>
      <c r="BK91" s="200"/>
      <c r="BL91" s="206"/>
      <c r="BM91" s="206"/>
      <c r="BN91" s="206"/>
      <c r="BO91" s="206"/>
      <c r="BP91" s="206">
        <f t="shared" si="98"/>
        <v>0</v>
      </c>
      <c r="BQ91" s="199"/>
      <c r="BR91" s="205" t="e">
        <f t="shared" si="99"/>
        <v>#DIV/0!</v>
      </c>
      <c r="BW91" s="207">
        <f t="shared" si="71"/>
        <v>0</v>
      </c>
      <c r="BX91" s="206"/>
      <c r="BY91" s="206"/>
      <c r="BZ91" s="206"/>
      <c r="CA91" s="206"/>
      <c r="CB91" s="199"/>
      <c r="CC91" s="206"/>
      <c r="CD91" s="206"/>
      <c r="CE91" s="206"/>
      <c r="CF91" s="206"/>
      <c r="CG91" s="206"/>
      <c r="CH91" s="304"/>
      <c r="CL91" s="206"/>
      <c r="CM91" s="304"/>
      <c r="CO91" s="206"/>
      <c r="CP91" s="206"/>
    </row>
    <row r="92" spans="1:94" s="289" customFormat="1" ht="18" customHeight="1" x14ac:dyDescent="0.25">
      <c r="A92" s="283" t="s">
        <v>204</v>
      </c>
      <c r="D92" s="375"/>
      <c r="E92" s="376"/>
      <c r="G92" s="287"/>
      <c r="H92" s="288"/>
      <c r="J92" s="287"/>
      <c r="K92" s="288"/>
      <c r="L92" s="285"/>
      <c r="M92" s="285"/>
      <c r="N92" s="377"/>
      <c r="O92" s="285"/>
      <c r="P92" s="285"/>
      <c r="Q92" s="377"/>
      <c r="R92" s="287"/>
      <c r="S92" s="287"/>
      <c r="T92" s="407"/>
      <c r="U92" s="287"/>
      <c r="V92" s="287"/>
      <c r="W92" s="407"/>
      <c r="X92" s="291"/>
      <c r="Y92" s="292"/>
      <c r="Z92" s="559"/>
      <c r="AA92" s="287"/>
      <c r="AB92" s="384"/>
      <c r="AC92" s="295"/>
      <c r="AF92" s="287"/>
      <c r="AG92" s="287"/>
      <c r="AX92" s="287"/>
      <c r="AY92" s="287"/>
      <c r="AZ92" s="407"/>
      <c r="BA92" s="407"/>
      <c r="BB92" s="407"/>
      <c r="BC92" s="407"/>
      <c r="BD92" s="407"/>
      <c r="BE92" s="287"/>
      <c r="BF92" s="287"/>
      <c r="BG92" s="407"/>
      <c r="BH92" s="290"/>
      <c r="BI92" s="290"/>
      <c r="BJ92" s="290"/>
      <c r="BK92" s="290"/>
      <c r="BL92" s="296"/>
      <c r="BM92" s="296"/>
      <c r="BN92" s="296"/>
      <c r="BO92" s="296"/>
      <c r="BP92" s="206">
        <f t="shared" si="98"/>
        <v>0</v>
      </c>
      <c r="BQ92" s="288"/>
      <c r="BR92" s="205" t="e">
        <f t="shared" si="99"/>
        <v>#DIV/0!</v>
      </c>
      <c r="BS92" s="296"/>
      <c r="BW92" s="298"/>
      <c r="BX92" s="296"/>
      <c r="BY92" s="296"/>
      <c r="BZ92" s="296"/>
      <c r="CA92" s="296"/>
      <c r="CB92" s="288"/>
      <c r="CC92" s="296"/>
      <c r="CD92" s="296"/>
      <c r="CE92" s="296"/>
      <c r="CF92" s="296"/>
      <c r="CG92" s="296"/>
      <c r="CH92" s="407"/>
      <c r="CL92" s="743"/>
      <c r="CM92" s="407"/>
    </row>
    <row r="93" spans="1:94" s="148" customFormat="1" ht="18" customHeight="1" x14ac:dyDescent="0.25">
      <c r="A93" s="312" t="s">
        <v>205</v>
      </c>
      <c r="B93" s="416">
        <f>297327+5086</f>
        <v>302413</v>
      </c>
      <c r="C93" s="416">
        <f>309820+5919</f>
        <v>315739</v>
      </c>
      <c r="D93" s="416">
        <f t="shared" si="77"/>
        <v>13326</v>
      </c>
      <c r="E93" s="563">
        <f>(C93-B93)/B93</f>
        <v>4.406556596442613E-2</v>
      </c>
      <c r="F93" s="203">
        <f>315155+7615</f>
        <v>322770</v>
      </c>
      <c r="G93" s="203">
        <f t="shared" si="78"/>
        <v>7031</v>
      </c>
      <c r="H93" s="362">
        <f>(F93-C93)/C93</f>
        <v>2.2268392564744933E-2</v>
      </c>
      <c r="I93" s="203">
        <f>327688+12747</f>
        <v>340435</v>
      </c>
      <c r="J93" s="203">
        <f t="shared" si="79"/>
        <v>17665</v>
      </c>
      <c r="K93" s="362">
        <f>(I93-F93)/F93</f>
        <v>5.4729373857545623E-2</v>
      </c>
      <c r="L93" s="203">
        <v>362630</v>
      </c>
      <c r="M93" s="203">
        <v>22193</v>
      </c>
      <c r="N93" s="397">
        <v>6.5189741420585895E-2</v>
      </c>
      <c r="O93" s="203">
        <v>377853</v>
      </c>
      <c r="P93" s="203">
        <f>O93-L93</f>
        <v>15223</v>
      </c>
      <c r="Q93" s="397">
        <f t="shared" ref="Q93:Q109" si="107">P93/L93</f>
        <v>4.197942806717591E-2</v>
      </c>
      <c r="R93" s="203">
        <v>431559</v>
      </c>
      <c r="S93" s="203">
        <f t="shared" ref="S93:S117" si="108">R93-O93</f>
        <v>53706</v>
      </c>
      <c r="T93" s="397">
        <f t="shared" ref="T93:T105" si="109">S93/O93</f>
        <v>0.14213463966145565</v>
      </c>
      <c r="U93" s="203">
        <v>444102</v>
      </c>
      <c r="V93" s="203">
        <f>U93-R93</f>
        <v>12543</v>
      </c>
      <c r="W93" s="397">
        <f>V93/R93</f>
        <v>2.9064392122513955E-2</v>
      </c>
      <c r="X93" s="201">
        <v>483579</v>
      </c>
      <c r="Y93" s="203">
        <f t="shared" ref="Y93:Y117" si="110">X93-U93</f>
        <v>39477</v>
      </c>
      <c r="Z93" s="484">
        <f t="shared" ref="Z93:Z105" si="111">Y93/U93</f>
        <v>8.8891741086507159E-2</v>
      </c>
      <c r="AA93" s="203">
        <v>474920</v>
      </c>
      <c r="AB93" s="564">
        <f t="shared" ref="AB93:AB117" si="112">AA93-X93</f>
        <v>-8659</v>
      </c>
      <c r="AC93" s="485">
        <f t="shared" ref="AC93:AC105" si="113">AB93/X93</f>
        <v>-1.7906071190022726E-2</v>
      </c>
      <c r="AD93" s="418">
        <v>446423</v>
      </c>
      <c r="AE93" s="418">
        <v>32181</v>
      </c>
      <c r="AF93" s="203">
        <v>458516</v>
      </c>
      <c r="AG93" s="203">
        <f t="shared" ref="AG93:AG116" si="114">AF93-AA93</f>
        <v>-16404</v>
      </c>
      <c r="AH93" s="397">
        <f t="shared" ref="AH93:AH116" si="115">AG93/AA93</f>
        <v>-3.4540554198601872E-2</v>
      </c>
      <c r="AI93" s="418">
        <v>446423</v>
      </c>
      <c r="AJ93" s="148">
        <v>478604</v>
      </c>
      <c r="AK93" s="148">
        <v>452401</v>
      </c>
      <c r="AL93" s="354"/>
      <c r="AM93" s="203">
        <f t="shared" ref="AM93:AM116" si="116">+AL93+AK93</f>
        <v>452401</v>
      </c>
      <c r="AN93" s="148">
        <v>413648</v>
      </c>
      <c r="AO93" s="148">
        <v>449518</v>
      </c>
      <c r="AP93" s="418">
        <v>19429</v>
      </c>
      <c r="AQ93" s="418">
        <v>381</v>
      </c>
      <c r="AR93" s="418">
        <f>+AP93+AQ93</f>
        <v>19810</v>
      </c>
      <c r="AS93" s="418">
        <f>BB93+AR93</f>
        <v>462302.49015000003</v>
      </c>
      <c r="AT93" s="418">
        <f>AS93-AF93</f>
        <v>3786.4901500000269</v>
      </c>
      <c r="AU93" s="485">
        <f>AT93/AF93</f>
        <v>8.2581418096642802E-3</v>
      </c>
      <c r="AV93" s="418">
        <f t="shared" ref="AV93:AV117" si="117">+AS93-AF93</f>
        <v>3786.4901500000269</v>
      </c>
      <c r="AW93" s="485">
        <f t="shared" ref="AW93:AW117" si="118">+AV93/AF93</f>
        <v>8.2581418096642802E-3</v>
      </c>
      <c r="AX93" s="418">
        <f>439227+7700</f>
        <v>446927</v>
      </c>
      <c r="AY93" s="203">
        <f t="shared" si="101"/>
        <v>-11589</v>
      </c>
      <c r="AZ93" s="362">
        <f t="shared" si="102"/>
        <v>-2.5275017665686694E-2</v>
      </c>
      <c r="BA93" s="560">
        <f>415115.54284+31861.06093</f>
        <v>446976.60376999999</v>
      </c>
      <c r="BB93" s="560">
        <f>415020.28519+27472.20496</f>
        <v>442492.49015000003</v>
      </c>
      <c r="BC93" s="560">
        <f>BA93-BB93</f>
        <v>4484.1136199999601</v>
      </c>
      <c r="BD93" s="304">
        <f>BC93/BA93</f>
        <v>1.0032099179641499E-2</v>
      </c>
      <c r="BE93" s="418">
        <v>448282</v>
      </c>
      <c r="BF93" s="203">
        <f t="shared" ref="BF93:BF105" si="119">BE93-AX93</f>
        <v>1355</v>
      </c>
      <c r="BG93" s="362">
        <f t="shared" ref="BG93:BG117" si="120">BF93/AX93</f>
        <v>3.0318150391450954E-3</v>
      </c>
      <c r="BH93" s="418">
        <v>17276</v>
      </c>
      <c r="BI93" s="418"/>
      <c r="BJ93" s="418"/>
      <c r="BK93" s="418">
        <v>486</v>
      </c>
      <c r="BL93" s="309">
        <f t="shared" si="103"/>
        <v>466044</v>
      </c>
      <c r="BM93" s="309">
        <f t="shared" ref="BM93:BM117" si="121">BL93-AS93</f>
        <v>3741.5098499999731</v>
      </c>
      <c r="BN93" s="309">
        <v>471523</v>
      </c>
      <c r="BO93" s="309">
        <v>470926</v>
      </c>
      <c r="BP93" s="206">
        <f t="shared" si="98"/>
        <v>22644</v>
      </c>
      <c r="BQ93" s="362">
        <f t="shared" ref="BQ93:BQ117" si="122">BM93/AS93</f>
        <v>8.0932072176076574E-3</v>
      </c>
      <c r="BR93" s="205">
        <f t="shared" si="99"/>
        <v>5.0512846824097332E-2</v>
      </c>
      <c r="BS93" s="309">
        <v>24639</v>
      </c>
      <c r="BV93" s="66">
        <v>618</v>
      </c>
      <c r="BW93" s="207">
        <f t="shared" ref="BW93:BW116" si="123">BN93+BS93+BT93+BU93+BV93</f>
        <v>496780</v>
      </c>
      <c r="BX93" s="206">
        <v>470926</v>
      </c>
      <c r="BY93" s="206"/>
      <c r="BZ93" s="206">
        <v>465253</v>
      </c>
      <c r="CA93" s="206">
        <f t="shared" si="100"/>
        <v>16971</v>
      </c>
      <c r="CB93" s="199">
        <f>CA93/BE93</f>
        <v>3.7857866253831293E-2</v>
      </c>
      <c r="CC93" s="309">
        <v>485350</v>
      </c>
      <c r="CD93" s="309">
        <v>483282</v>
      </c>
      <c r="CE93" s="309">
        <v>200</v>
      </c>
      <c r="CF93" s="206">
        <v>495776</v>
      </c>
      <c r="CG93" s="206">
        <f t="shared" ref="CG93:CG117" si="124">CF93-BZ93</f>
        <v>30523</v>
      </c>
      <c r="CH93" s="304">
        <f t="shared" ref="CH93:CH117" si="125">CG93/BZ93</f>
        <v>6.5605165361641946E-2</v>
      </c>
      <c r="CI93" s="309">
        <v>484870</v>
      </c>
      <c r="CJ93" s="309"/>
      <c r="CK93" s="309">
        <f t="shared" ref="CK93:CK116" si="126">CJ93+CI93</f>
        <v>484870</v>
      </c>
      <c r="CL93" s="206">
        <f t="shared" si="95"/>
        <v>-10906</v>
      </c>
      <c r="CM93" s="608">
        <f t="shared" ref="CM93:CM117" si="127">CL93/CF93</f>
        <v>-2.1997837733169819E-2</v>
      </c>
      <c r="CN93" s="203">
        <v>510567</v>
      </c>
      <c r="CO93" s="206">
        <f t="shared" si="96"/>
        <v>25697</v>
      </c>
      <c r="CP93" s="304">
        <f t="shared" si="97"/>
        <v>5.299771072658651E-2</v>
      </c>
    </row>
    <row r="94" spans="1:94" s="148" customFormat="1" ht="18" customHeight="1" x14ac:dyDescent="0.25">
      <c r="A94" s="312" t="s">
        <v>206</v>
      </c>
      <c r="B94" s="416">
        <f>112749+106</f>
        <v>112855</v>
      </c>
      <c r="C94" s="416">
        <f>129197+19</f>
        <v>129216</v>
      </c>
      <c r="D94" s="416">
        <f t="shared" si="77"/>
        <v>16361</v>
      </c>
      <c r="E94" s="563">
        <f>(C94-B94)/B94</f>
        <v>0.14497363873997607</v>
      </c>
      <c r="F94" s="203">
        <f>129729+2</f>
        <v>129731</v>
      </c>
      <c r="G94" s="203">
        <f t="shared" si="78"/>
        <v>515</v>
      </c>
      <c r="H94" s="362">
        <f>(F94-C94)/C94</f>
        <v>3.9855745418524019E-3</v>
      </c>
      <c r="I94" s="203">
        <v>135693</v>
      </c>
      <c r="J94" s="203">
        <f t="shared" si="79"/>
        <v>5962</v>
      </c>
      <c r="K94" s="362">
        <f>(I94-F94)/F94</f>
        <v>4.5956633341298535E-2</v>
      </c>
      <c r="L94" s="203">
        <v>148503</v>
      </c>
      <c r="M94" s="203">
        <v>12810</v>
      </c>
      <c r="N94" s="397">
        <v>9.4404280250270825E-2</v>
      </c>
      <c r="O94" s="203">
        <v>149226</v>
      </c>
      <c r="P94" s="203">
        <f t="shared" ref="P94:P112" si="128">O94-L94</f>
        <v>723</v>
      </c>
      <c r="Q94" s="397">
        <f t="shared" si="107"/>
        <v>4.8685885133633667E-3</v>
      </c>
      <c r="R94" s="203">
        <v>157228</v>
      </c>
      <c r="S94" s="203">
        <f t="shared" si="108"/>
        <v>8002</v>
      </c>
      <c r="T94" s="397">
        <f t="shared" si="109"/>
        <v>5.3623363220886441E-2</v>
      </c>
      <c r="U94" s="203">
        <v>172775</v>
      </c>
      <c r="V94" s="203">
        <f t="shared" ref="V94:V112" si="129">U94-R94</f>
        <v>15547</v>
      </c>
      <c r="W94" s="397">
        <f t="shared" ref="W94:W112" si="130">V94/R94</f>
        <v>9.8881878545806087E-2</v>
      </c>
      <c r="X94" s="201">
        <v>188601</v>
      </c>
      <c r="Y94" s="203">
        <f t="shared" si="110"/>
        <v>15826</v>
      </c>
      <c r="Z94" s="484">
        <f t="shared" si="111"/>
        <v>9.1598900303863404E-2</v>
      </c>
      <c r="AA94" s="203">
        <v>184289</v>
      </c>
      <c r="AB94" s="564">
        <f t="shared" si="112"/>
        <v>-4312</v>
      </c>
      <c r="AC94" s="485">
        <f t="shared" si="113"/>
        <v>-2.2863081319823331E-2</v>
      </c>
      <c r="AD94" s="418">
        <v>187935</v>
      </c>
      <c r="AE94" s="418">
        <v>1520</v>
      </c>
      <c r="AF94" s="203">
        <v>194830</v>
      </c>
      <c r="AG94" s="203">
        <f t="shared" si="114"/>
        <v>10541</v>
      </c>
      <c r="AH94" s="397">
        <f t="shared" si="115"/>
        <v>5.7198204993244309E-2</v>
      </c>
      <c r="AI94" s="418">
        <v>187935</v>
      </c>
      <c r="AJ94" s="148">
        <v>189455</v>
      </c>
      <c r="AK94" s="148">
        <v>196834</v>
      </c>
      <c r="AL94" s="354"/>
      <c r="AM94" s="203">
        <f t="shared" si="116"/>
        <v>196834</v>
      </c>
      <c r="AN94" s="148">
        <v>192535</v>
      </c>
      <c r="AO94" s="148">
        <v>194055</v>
      </c>
      <c r="AP94" s="418">
        <v>5393</v>
      </c>
      <c r="AQ94" s="418">
        <v>240</v>
      </c>
      <c r="AR94" s="418">
        <f t="shared" ref="AR94:AR116" si="131">+AP94+AQ94</f>
        <v>5633</v>
      </c>
      <c r="AS94" s="418">
        <f t="shared" ref="AS94:AS116" si="132">BB94+AR94</f>
        <v>199071.45843</v>
      </c>
      <c r="AT94" s="418">
        <f t="shared" ref="AT94:AT117" si="133">AS94-AF94</f>
        <v>4241.4584299999988</v>
      </c>
      <c r="AU94" s="485">
        <f t="shared" ref="AU94:AU117" si="134">AT94/AF94</f>
        <v>2.1770047887902266E-2</v>
      </c>
      <c r="AV94" s="418">
        <f t="shared" si="117"/>
        <v>4241.4584299999988</v>
      </c>
      <c r="AW94" s="485">
        <f t="shared" si="118"/>
        <v>2.1770047887902266E-2</v>
      </c>
      <c r="AX94" s="418">
        <v>196615</v>
      </c>
      <c r="AY94" s="203">
        <f t="shared" si="101"/>
        <v>1785</v>
      </c>
      <c r="AZ94" s="362">
        <f t="shared" si="102"/>
        <v>9.1618333932145975E-3</v>
      </c>
      <c r="BA94" s="560">
        <f>192295.3313+1520</f>
        <v>193815.33129999999</v>
      </c>
      <c r="BB94" s="560">
        <f>191932.00926+1506.44917</f>
        <v>193438.45843</v>
      </c>
      <c r="BC94" s="560">
        <f t="shared" ref="BC94:BC116" si="135">BA94-BB94</f>
        <v>376.87286999999196</v>
      </c>
      <c r="BD94" s="304">
        <f t="shared" ref="BD94:BD116" si="136">BC94/BA94</f>
        <v>1.9444946252298461E-3</v>
      </c>
      <c r="BE94" s="418">
        <v>190368</v>
      </c>
      <c r="BF94" s="203">
        <f t="shared" si="119"/>
        <v>-6247</v>
      </c>
      <c r="BG94" s="362">
        <f t="shared" si="120"/>
        <v>-3.1772753859064667E-2</v>
      </c>
      <c r="BH94" s="418">
        <f>5426+500</f>
        <v>5926</v>
      </c>
      <c r="BI94" s="418"/>
      <c r="BJ94" s="418"/>
      <c r="BK94" s="418">
        <v>208</v>
      </c>
      <c r="BL94" s="309">
        <f t="shared" si="103"/>
        <v>196502</v>
      </c>
      <c r="BM94" s="309">
        <f t="shared" si="121"/>
        <v>-2569.4584299999988</v>
      </c>
      <c r="BN94" s="309">
        <v>200729</v>
      </c>
      <c r="BO94" s="309">
        <v>199374</v>
      </c>
      <c r="BP94" s="206">
        <f t="shared" si="98"/>
        <v>9006</v>
      </c>
      <c r="BQ94" s="362">
        <f t="shared" si="122"/>
        <v>-1.2907216585764372E-2</v>
      </c>
      <c r="BR94" s="205">
        <f t="shared" si="99"/>
        <v>4.7308371154815933E-2</v>
      </c>
      <c r="BS94" s="309">
        <v>7792</v>
      </c>
      <c r="BV94" s="66">
        <v>247</v>
      </c>
      <c r="BW94" s="207">
        <f t="shared" si="123"/>
        <v>208768</v>
      </c>
      <c r="BX94" s="206">
        <v>199374</v>
      </c>
      <c r="BY94" s="206"/>
      <c r="BZ94" s="206">
        <v>199911</v>
      </c>
      <c r="CA94" s="206">
        <f t="shared" si="100"/>
        <v>9543</v>
      </c>
      <c r="CB94" s="199">
        <f t="shared" ref="CB94:CB116" si="137">CA94/BE94</f>
        <v>5.0129223398890567E-2</v>
      </c>
      <c r="CC94" s="309">
        <v>200989</v>
      </c>
      <c r="CD94" s="309">
        <v>199471</v>
      </c>
      <c r="CE94" s="309"/>
      <c r="CF94" s="206">
        <v>216804</v>
      </c>
      <c r="CG94" s="206">
        <f t="shared" si="124"/>
        <v>16893</v>
      </c>
      <c r="CH94" s="304">
        <f t="shared" si="125"/>
        <v>8.4502603658628092E-2</v>
      </c>
      <c r="CI94" s="309">
        <v>203083</v>
      </c>
      <c r="CJ94" s="309"/>
      <c r="CK94" s="309">
        <f t="shared" si="126"/>
        <v>203083</v>
      </c>
      <c r="CL94" s="206">
        <f t="shared" si="95"/>
        <v>-13721</v>
      </c>
      <c r="CM94" s="608">
        <f t="shared" si="127"/>
        <v>-6.3287577719968263E-2</v>
      </c>
      <c r="CN94" s="203">
        <v>234143</v>
      </c>
      <c r="CO94" s="206">
        <f t="shared" si="96"/>
        <v>31060</v>
      </c>
      <c r="CP94" s="304">
        <f t="shared" si="97"/>
        <v>0.15294239301172427</v>
      </c>
    </row>
    <row r="95" spans="1:94" ht="18" customHeight="1" x14ac:dyDescent="0.25">
      <c r="A95" s="312" t="s">
        <v>207</v>
      </c>
      <c r="B95" s="416">
        <v>39900</v>
      </c>
      <c r="C95" s="416">
        <v>49000</v>
      </c>
      <c r="D95" s="416">
        <f t="shared" si="77"/>
        <v>9100</v>
      </c>
      <c r="E95" s="563">
        <f>(C95-B95)/B95</f>
        <v>0.22807017543859648</v>
      </c>
      <c r="F95" s="204">
        <v>74600</v>
      </c>
      <c r="G95" s="204">
        <f t="shared" si="78"/>
        <v>25600</v>
      </c>
      <c r="H95" s="199">
        <f>(F95-C95)/C95</f>
        <v>0.52244897959183678</v>
      </c>
      <c r="I95" s="204">
        <v>68900</v>
      </c>
      <c r="J95" s="204">
        <f t="shared" si="79"/>
        <v>-5700</v>
      </c>
      <c r="K95" s="199">
        <f>(I95-F95)/F95</f>
        <v>-7.6407506702412864E-2</v>
      </c>
      <c r="L95" s="204">
        <v>96700</v>
      </c>
      <c r="M95" s="204">
        <v>27800</v>
      </c>
      <c r="N95" s="304">
        <v>0.40348330914368652</v>
      </c>
      <c r="O95" s="204">
        <v>112100</v>
      </c>
      <c r="P95" s="204">
        <f t="shared" si="128"/>
        <v>15400</v>
      </c>
      <c r="Q95" s="304">
        <f t="shared" si="107"/>
        <v>0.1592554291623578</v>
      </c>
      <c r="R95" s="204">
        <v>117500</v>
      </c>
      <c r="S95" s="204">
        <f t="shared" si="108"/>
        <v>5400</v>
      </c>
      <c r="T95" s="304">
        <f t="shared" si="109"/>
        <v>4.8171275646743977E-2</v>
      </c>
      <c r="U95" s="204">
        <v>140100</v>
      </c>
      <c r="V95" s="204">
        <f t="shared" si="129"/>
        <v>22600</v>
      </c>
      <c r="W95" s="304">
        <f t="shared" si="130"/>
        <v>0.19234042553191488</v>
      </c>
      <c r="X95" s="201">
        <v>137000</v>
      </c>
      <c r="Y95" s="204">
        <f t="shared" si="110"/>
        <v>-3100</v>
      </c>
      <c r="Z95" s="484">
        <f t="shared" si="111"/>
        <v>-2.2127052105638829E-2</v>
      </c>
      <c r="AA95" s="203">
        <v>110900</v>
      </c>
      <c r="AB95" s="374">
        <f t="shared" si="112"/>
        <v>-26100</v>
      </c>
      <c r="AC95" s="205">
        <f t="shared" si="113"/>
        <v>-0.1905109489051095</v>
      </c>
      <c r="AD95" s="200">
        <v>132975</v>
      </c>
      <c r="AE95" s="200"/>
      <c r="AF95" s="204">
        <v>132300</v>
      </c>
      <c r="AG95" s="204">
        <f t="shared" si="114"/>
        <v>21400</v>
      </c>
      <c r="AH95" s="304">
        <f t="shared" si="115"/>
        <v>0.19296663660955815</v>
      </c>
      <c r="AI95" s="200">
        <v>132975</v>
      </c>
      <c r="AJ95" s="66">
        <v>132975</v>
      </c>
      <c r="AK95" s="66">
        <v>127200</v>
      </c>
      <c r="AL95" s="354">
        <v>375</v>
      </c>
      <c r="AM95" s="204">
        <f t="shared" si="116"/>
        <v>127575</v>
      </c>
      <c r="AN95" s="66">
        <v>127200</v>
      </c>
      <c r="AO95" s="66">
        <v>127200</v>
      </c>
      <c r="AP95" s="200">
        <v>0</v>
      </c>
      <c r="AQ95" s="200">
        <v>0</v>
      </c>
      <c r="AR95" s="200">
        <f t="shared" si="131"/>
        <v>0</v>
      </c>
      <c r="AS95" s="418">
        <f t="shared" si="132"/>
        <v>127200</v>
      </c>
      <c r="AT95" s="200">
        <f t="shared" si="133"/>
        <v>-5100</v>
      </c>
      <c r="AU95" s="205">
        <f t="shared" si="134"/>
        <v>-3.8548752834467119E-2</v>
      </c>
      <c r="AV95" s="200">
        <f t="shared" si="117"/>
        <v>-5100</v>
      </c>
      <c r="AW95" s="205">
        <f t="shared" si="118"/>
        <v>-3.8548752834467119E-2</v>
      </c>
      <c r="AX95" s="200">
        <v>127200</v>
      </c>
      <c r="AY95" s="204">
        <f t="shared" si="101"/>
        <v>-5100</v>
      </c>
      <c r="AZ95" s="199">
        <f t="shared" si="102"/>
        <v>-3.8548752834467119E-2</v>
      </c>
      <c r="BA95" s="560">
        <v>127200</v>
      </c>
      <c r="BB95" s="560">
        <v>127200</v>
      </c>
      <c r="BC95" s="560">
        <f t="shared" si="135"/>
        <v>0</v>
      </c>
      <c r="BD95" s="304">
        <f t="shared" si="136"/>
        <v>0</v>
      </c>
      <c r="BE95" s="200">
        <v>116700</v>
      </c>
      <c r="BF95" s="204">
        <f t="shared" si="119"/>
        <v>-10500</v>
      </c>
      <c r="BG95" s="199">
        <f t="shared" si="120"/>
        <v>-8.254716981132075E-2</v>
      </c>
      <c r="BH95" s="200"/>
      <c r="BI95" s="200"/>
      <c r="BJ95" s="200"/>
      <c r="BK95" s="200"/>
      <c r="BL95" s="206">
        <f t="shared" si="103"/>
        <v>116700</v>
      </c>
      <c r="BM95" s="206">
        <f t="shared" si="121"/>
        <v>-10500</v>
      </c>
      <c r="BN95" s="206">
        <v>96314</v>
      </c>
      <c r="BO95" s="206">
        <v>96314</v>
      </c>
      <c r="BP95" s="206">
        <f t="shared" si="98"/>
        <v>-20386</v>
      </c>
      <c r="BQ95" s="199">
        <f t="shared" si="122"/>
        <v>-8.254716981132075E-2</v>
      </c>
      <c r="BR95" s="205">
        <f t="shared" si="99"/>
        <v>-0.17468723221936588</v>
      </c>
      <c r="BW95" s="207">
        <f t="shared" si="123"/>
        <v>96314</v>
      </c>
      <c r="BX95" s="206">
        <v>96314</v>
      </c>
      <c r="BY95" s="206"/>
      <c r="BZ95" s="206">
        <f t="shared" ref="BZ95:BZ116" si="138">BX95+BY95</f>
        <v>96314</v>
      </c>
      <c r="CA95" s="206">
        <f t="shared" si="100"/>
        <v>-20386</v>
      </c>
      <c r="CB95" s="199">
        <f t="shared" si="137"/>
        <v>-0.17468723221936588</v>
      </c>
      <c r="CC95" s="206">
        <v>110766</v>
      </c>
      <c r="CD95" s="206">
        <v>110766</v>
      </c>
      <c r="CE95" s="206"/>
      <c r="CF95" s="206">
        <v>109199</v>
      </c>
      <c r="CG95" s="206">
        <f t="shared" si="124"/>
        <v>12885</v>
      </c>
      <c r="CH95" s="304">
        <f t="shared" si="125"/>
        <v>0.13378117407645826</v>
      </c>
      <c r="CI95" s="206">
        <v>111330</v>
      </c>
      <c r="CJ95" s="206"/>
      <c r="CK95" s="206">
        <f t="shared" si="126"/>
        <v>111330</v>
      </c>
      <c r="CL95" s="206">
        <f t="shared" si="95"/>
        <v>2131</v>
      </c>
      <c r="CM95" s="608">
        <f t="shared" si="127"/>
        <v>1.9514830721893056E-2</v>
      </c>
      <c r="CN95" s="204">
        <v>136115</v>
      </c>
      <c r="CO95" s="206">
        <f t="shared" si="96"/>
        <v>24785</v>
      </c>
      <c r="CP95" s="304">
        <f t="shared" si="97"/>
        <v>0.22262642594089643</v>
      </c>
    </row>
    <row r="96" spans="1:94" s="148" customFormat="1" ht="18" customHeight="1" x14ac:dyDescent="0.25">
      <c r="A96" s="312" t="s">
        <v>208</v>
      </c>
      <c r="B96" s="416">
        <f>70484+176561</f>
        <v>247045</v>
      </c>
      <c r="C96" s="416">
        <f>80325+131433</f>
        <v>211758</v>
      </c>
      <c r="D96" s="416">
        <f t="shared" si="77"/>
        <v>-35287</v>
      </c>
      <c r="E96" s="563">
        <f>(C96-B96)/B96</f>
        <v>-0.14283632536582405</v>
      </c>
      <c r="F96" s="203">
        <f>97679-64</f>
        <v>97615</v>
      </c>
      <c r="G96" s="203">
        <f t="shared" si="78"/>
        <v>-114143</v>
      </c>
      <c r="H96" s="362">
        <f>(F96-C96)/C96</f>
        <v>-0.53902568025765263</v>
      </c>
      <c r="I96" s="203">
        <v>102336</v>
      </c>
      <c r="J96" s="203">
        <f t="shared" si="79"/>
        <v>4721</v>
      </c>
      <c r="K96" s="362">
        <f>(I96-F96)/F96</f>
        <v>4.8363468729191207E-2</v>
      </c>
      <c r="L96" s="203">
        <v>117539</v>
      </c>
      <c r="M96" s="203">
        <v>15203</v>
      </c>
      <c r="N96" s="397">
        <v>0.14855964665415886</v>
      </c>
      <c r="O96" s="203">
        <v>123376</v>
      </c>
      <c r="P96" s="203">
        <f t="shared" si="128"/>
        <v>5837</v>
      </c>
      <c r="Q96" s="397">
        <f t="shared" si="107"/>
        <v>4.966011281361931E-2</v>
      </c>
      <c r="R96" s="203">
        <v>135207</v>
      </c>
      <c r="S96" s="203">
        <f t="shared" si="108"/>
        <v>11831</v>
      </c>
      <c r="T96" s="397">
        <f t="shared" si="109"/>
        <v>9.5893852937362203E-2</v>
      </c>
      <c r="U96" s="203">
        <v>147131</v>
      </c>
      <c r="V96" s="203">
        <f t="shared" si="129"/>
        <v>11924</v>
      </c>
      <c r="W96" s="397">
        <f t="shared" si="130"/>
        <v>8.8190700185641277E-2</v>
      </c>
      <c r="X96" s="201">
        <v>152744</v>
      </c>
      <c r="Y96" s="203">
        <f t="shared" si="110"/>
        <v>5613</v>
      </c>
      <c r="Z96" s="484">
        <f t="shared" si="111"/>
        <v>3.8149676138951004E-2</v>
      </c>
      <c r="AA96" s="203">
        <v>149276</v>
      </c>
      <c r="AB96" s="564">
        <f t="shared" si="112"/>
        <v>-3468</v>
      </c>
      <c r="AC96" s="485">
        <f t="shared" si="113"/>
        <v>-2.2704656156706648E-2</v>
      </c>
      <c r="AD96" s="418">
        <v>103887</v>
      </c>
      <c r="AE96" s="418">
        <v>34824</v>
      </c>
      <c r="AF96" s="203">
        <v>150579</v>
      </c>
      <c r="AG96" s="203">
        <f t="shared" si="114"/>
        <v>1303</v>
      </c>
      <c r="AH96" s="397">
        <f t="shared" si="115"/>
        <v>8.7287976633886218E-3</v>
      </c>
      <c r="AI96" s="418">
        <v>103887</v>
      </c>
      <c r="AJ96" s="148">
        <v>138711</v>
      </c>
      <c r="AK96" s="68">
        <v>116451</v>
      </c>
      <c r="AL96" s="354">
        <v>4900</v>
      </c>
      <c r="AM96" s="203">
        <f t="shared" si="116"/>
        <v>121351</v>
      </c>
      <c r="AN96" s="148">
        <v>100083</v>
      </c>
      <c r="AO96" s="148">
        <v>125628</v>
      </c>
      <c r="AP96" s="418">
        <v>2811</v>
      </c>
      <c r="AQ96" s="418">
        <v>471</v>
      </c>
      <c r="AR96" s="418">
        <f t="shared" si="131"/>
        <v>3282</v>
      </c>
      <c r="AS96" s="418">
        <f t="shared" si="132"/>
        <v>145604.72744000002</v>
      </c>
      <c r="AT96" s="418">
        <f t="shared" si="133"/>
        <v>-4974.2725599999831</v>
      </c>
      <c r="AU96" s="485">
        <f t="shared" si="134"/>
        <v>-3.3034304650714795E-2</v>
      </c>
      <c r="AV96" s="418">
        <f t="shared" si="117"/>
        <v>-4974.2725599999831</v>
      </c>
      <c r="AW96" s="485">
        <f t="shared" si="118"/>
        <v>-3.3034304650714795E-2</v>
      </c>
      <c r="AX96" s="418">
        <f>134075+6300</f>
        <v>140375</v>
      </c>
      <c r="AY96" s="203">
        <f t="shared" si="101"/>
        <v>-10204</v>
      </c>
      <c r="AZ96" s="362">
        <f t="shared" si="102"/>
        <v>-6.7765093406119054E-2</v>
      </c>
      <c r="BA96" s="560">
        <f>119026.27025+25540.62025</f>
        <v>144566.89050000001</v>
      </c>
      <c r="BB96" s="560">
        <f>117369.46937+24953.25807</f>
        <v>142322.72744000002</v>
      </c>
      <c r="BC96" s="560">
        <f t="shared" si="135"/>
        <v>2244.1630599999917</v>
      </c>
      <c r="BD96" s="304">
        <f t="shared" si="136"/>
        <v>1.5523354291140346E-2</v>
      </c>
      <c r="BE96" s="418">
        <v>125689</v>
      </c>
      <c r="BF96" s="203">
        <f t="shared" si="119"/>
        <v>-14686</v>
      </c>
      <c r="BG96" s="362">
        <f t="shared" si="120"/>
        <v>-0.10461976847729297</v>
      </c>
      <c r="BH96" s="418">
        <v>3951</v>
      </c>
      <c r="BI96" s="418"/>
      <c r="BJ96" s="418"/>
      <c r="BK96" s="418">
        <v>19</v>
      </c>
      <c r="BL96" s="309">
        <f t="shared" si="103"/>
        <v>129659</v>
      </c>
      <c r="BM96" s="309">
        <f t="shared" si="121"/>
        <v>-15945.727440000017</v>
      </c>
      <c r="BN96" s="309">
        <v>141085</v>
      </c>
      <c r="BO96" s="309">
        <v>139289</v>
      </c>
      <c r="BP96" s="206">
        <f t="shared" si="98"/>
        <v>13600</v>
      </c>
      <c r="BQ96" s="362">
        <f t="shared" si="122"/>
        <v>-0.10951380302243856</v>
      </c>
      <c r="BR96" s="205">
        <f t="shared" si="99"/>
        <v>0.10820358185680529</v>
      </c>
      <c r="BS96" s="309">
        <v>3968</v>
      </c>
      <c r="BV96" s="66">
        <v>39</v>
      </c>
      <c r="BW96" s="207">
        <f t="shared" si="123"/>
        <v>145092</v>
      </c>
      <c r="BX96" s="206">
        <v>139289</v>
      </c>
      <c r="BY96" s="206"/>
      <c r="BZ96" s="206">
        <v>130612</v>
      </c>
      <c r="CA96" s="206">
        <f t="shared" si="100"/>
        <v>4923</v>
      </c>
      <c r="CB96" s="199">
        <f t="shared" si="137"/>
        <v>3.9168105403018565E-2</v>
      </c>
      <c r="CC96" s="309">
        <v>141976</v>
      </c>
      <c r="CD96" s="309">
        <v>139953</v>
      </c>
      <c r="CE96" s="309">
        <v>1030</v>
      </c>
      <c r="CF96" s="206">
        <v>135313</v>
      </c>
      <c r="CG96" s="206">
        <f t="shared" si="124"/>
        <v>4701</v>
      </c>
      <c r="CH96" s="304">
        <f t="shared" si="125"/>
        <v>3.5992098735185128E-2</v>
      </c>
      <c r="CI96" s="309">
        <v>151410</v>
      </c>
      <c r="CJ96" s="309"/>
      <c r="CK96" s="309">
        <f t="shared" si="126"/>
        <v>151410</v>
      </c>
      <c r="CL96" s="206">
        <f t="shared" si="95"/>
        <v>16097</v>
      </c>
      <c r="CM96" s="608">
        <f t="shared" si="127"/>
        <v>0.11896122323797417</v>
      </c>
      <c r="CN96" s="203">
        <v>152020</v>
      </c>
      <c r="CO96" s="206">
        <f t="shared" si="96"/>
        <v>610</v>
      </c>
      <c r="CP96" s="304">
        <f t="shared" si="97"/>
        <v>4.0287959844131829E-3</v>
      </c>
    </row>
    <row r="97" spans="1:94" ht="18" customHeight="1" x14ac:dyDescent="0.25">
      <c r="A97" s="313" t="s">
        <v>209</v>
      </c>
      <c r="B97" s="302">
        <f>1740+164</f>
        <v>1904</v>
      </c>
      <c r="C97" s="302">
        <f>1704+340</f>
        <v>2044</v>
      </c>
      <c r="D97" s="416">
        <f t="shared" si="77"/>
        <v>140</v>
      </c>
      <c r="E97" s="563">
        <f>(C97-B97)/B97</f>
        <v>7.3529411764705885E-2</v>
      </c>
      <c r="F97" s="204">
        <v>1894</v>
      </c>
      <c r="G97" s="204">
        <f t="shared" si="78"/>
        <v>-150</v>
      </c>
      <c r="H97" s="199">
        <f>(F97-C97)/C97</f>
        <v>-7.3385518590998039E-2</v>
      </c>
      <c r="I97" s="204">
        <v>1396</v>
      </c>
      <c r="J97" s="204">
        <f t="shared" si="79"/>
        <v>-498</v>
      </c>
      <c r="K97" s="199">
        <f>(I97-F97)/F97</f>
        <v>-0.26293558606124606</v>
      </c>
      <c r="L97" s="204">
        <v>1934</v>
      </c>
      <c r="M97" s="204">
        <v>538</v>
      </c>
      <c r="N97" s="304">
        <v>0.38538681948424069</v>
      </c>
      <c r="O97" s="204">
        <v>2094</v>
      </c>
      <c r="P97" s="204">
        <f t="shared" si="128"/>
        <v>160</v>
      </c>
      <c r="Q97" s="304">
        <f t="shared" si="107"/>
        <v>8.2730093071354704E-2</v>
      </c>
      <c r="R97" s="204">
        <v>2329</v>
      </c>
      <c r="S97" s="204">
        <f t="shared" si="108"/>
        <v>235</v>
      </c>
      <c r="T97" s="304">
        <f t="shared" si="109"/>
        <v>0.112225405921681</v>
      </c>
      <c r="U97" s="204">
        <v>2846</v>
      </c>
      <c r="V97" s="204">
        <f t="shared" si="129"/>
        <v>517</v>
      </c>
      <c r="W97" s="304">
        <f t="shared" si="130"/>
        <v>0.22198368398454271</v>
      </c>
      <c r="X97" s="201">
        <v>2828</v>
      </c>
      <c r="Y97" s="204">
        <f t="shared" si="110"/>
        <v>-18</v>
      </c>
      <c r="Z97" s="484">
        <f t="shared" si="111"/>
        <v>-6.3246661981728744E-3</v>
      </c>
      <c r="AA97" s="203">
        <v>3371</v>
      </c>
      <c r="AB97" s="374">
        <f t="shared" si="112"/>
        <v>543</v>
      </c>
      <c r="AC97" s="205">
        <f t="shared" si="113"/>
        <v>0.192008486562942</v>
      </c>
      <c r="AD97" s="200">
        <v>3365</v>
      </c>
      <c r="AE97" s="200"/>
      <c r="AF97" s="204">
        <v>3317</v>
      </c>
      <c r="AG97" s="204">
        <f t="shared" si="114"/>
        <v>-54</v>
      </c>
      <c r="AH97" s="304">
        <f t="shared" si="115"/>
        <v>-1.601898546425393E-2</v>
      </c>
      <c r="AI97" s="200">
        <v>3365</v>
      </c>
      <c r="AJ97" s="66">
        <v>3365</v>
      </c>
      <c r="AK97" s="68">
        <v>3574</v>
      </c>
      <c r="AL97" s="354"/>
      <c r="AM97" s="204">
        <f t="shared" si="116"/>
        <v>3574</v>
      </c>
      <c r="AN97" s="66">
        <v>1127</v>
      </c>
      <c r="AO97" s="66">
        <v>1127</v>
      </c>
      <c r="AP97" s="200">
        <v>0</v>
      </c>
      <c r="AQ97" s="200">
        <v>0</v>
      </c>
      <c r="AR97" s="200">
        <f t="shared" si="131"/>
        <v>0</v>
      </c>
      <c r="AS97" s="418">
        <f t="shared" si="132"/>
        <v>2204.48596</v>
      </c>
      <c r="AT97" s="200">
        <f t="shared" si="133"/>
        <v>-1112.51404</v>
      </c>
      <c r="AU97" s="205">
        <f t="shared" si="134"/>
        <v>-0.3353976605366295</v>
      </c>
      <c r="AV97" s="200">
        <f t="shared" si="117"/>
        <v>-1112.51404</v>
      </c>
      <c r="AW97" s="205">
        <f t="shared" si="118"/>
        <v>-0.3353976605366295</v>
      </c>
      <c r="AX97" s="200">
        <v>2278</v>
      </c>
      <c r="AY97" s="204">
        <f t="shared" si="101"/>
        <v>-1039</v>
      </c>
      <c r="AZ97" s="199">
        <f t="shared" si="102"/>
        <v>-0.31323485076876695</v>
      </c>
      <c r="BA97" s="560">
        <v>2278.0568800000001</v>
      </c>
      <c r="BB97" s="560">
        <v>2204.48596</v>
      </c>
      <c r="BC97" s="560">
        <f t="shared" si="135"/>
        <v>73.570920000000115</v>
      </c>
      <c r="BD97" s="304">
        <f t="shared" si="136"/>
        <v>3.2295471041969816E-2</v>
      </c>
      <c r="BE97" s="200">
        <v>2286</v>
      </c>
      <c r="BF97" s="204">
        <f t="shared" si="119"/>
        <v>8</v>
      </c>
      <c r="BG97" s="199">
        <f t="shared" si="120"/>
        <v>3.5118525021949078E-3</v>
      </c>
      <c r="BH97" s="200"/>
      <c r="BI97" s="200"/>
      <c r="BJ97" s="200"/>
      <c r="BK97" s="200">
        <v>8</v>
      </c>
      <c r="BL97" s="206">
        <f t="shared" si="103"/>
        <v>2294</v>
      </c>
      <c r="BM97" s="206">
        <f t="shared" si="121"/>
        <v>89.514040000000023</v>
      </c>
      <c r="BN97" s="206">
        <v>2346</v>
      </c>
      <c r="BO97" s="206">
        <v>2796</v>
      </c>
      <c r="BP97" s="206">
        <f t="shared" si="98"/>
        <v>510</v>
      </c>
      <c r="BQ97" s="199">
        <f t="shared" si="122"/>
        <v>4.0605402630915381E-2</v>
      </c>
      <c r="BR97" s="205">
        <f t="shared" si="99"/>
        <v>0.2230971128608924</v>
      </c>
      <c r="BS97" s="206">
        <v>1834</v>
      </c>
      <c r="BV97" s="66">
        <v>7</v>
      </c>
      <c r="BW97" s="207">
        <f t="shared" si="123"/>
        <v>4187</v>
      </c>
      <c r="BX97" s="206">
        <v>2796</v>
      </c>
      <c r="BY97" s="206"/>
      <c r="BZ97" s="206">
        <v>2641</v>
      </c>
      <c r="CA97" s="206">
        <f t="shared" si="100"/>
        <v>355</v>
      </c>
      <c r="CB97" s="199">
        <f t="shared" si="137"/>
        <v>0.1552930883639545</v>
      </c>
      <c r="CC97" s="206">
        <v>2941</v>
      </c>
      <c r="CD97" s="206">
        <v>2941</v>
      </c>
      <c r="CE97" s="206"/>
      <c r="CF97" s="206">
        <v>3898</v>
      </c>
      <c r="CG97" s="206">
        <f t="shared" si="124"/>
        <v>1257</v>
      </c>
      <c r="CH97" s="304">
        <f t="shared" si="125"/>
        <v>0.47595607724346839</v>
      </c>
      <c r="CI97" s="206">
        <v>5066</v>
      </c>
      <c r="CJ97" s="206"/>
      <c r="CK97" s="206">
        <f t="shared" si="126"/>
        <v>5066</v>
      </c>
      <c r="CL97" s="206">
        <f t="shared" si="95"/>
        <v>1168</v>
      </c>
      <c r="CM97" s="608">
        <f t="shared" si="127"/>
        <v>0.29964084145715753</v>
      </c>
      <c r="CN97" s="204">
        <v>5026</v>
      </c>
      <c r="CO97" s="206">
        <f t="shared" si="96"/>
        <v>-40</v>
      </c>
      <c r="CP97" s="304">
        <f t="shared" si="97"/>
        <v>-7.895775759968417E-3</v>
      </c>
    </row>
    <row r="98" spans="1:94" s="148" customFormat="1" ht="18" customHeight="1" x14ac:dyDescent="0.25">
      <c r="A98" s="312" t="s">
        <v>210</v>
      </c>
      <c r="B98" s="567" t="s">
        <v>132</v>
      </c>
      <c r="C98" s="567" t="s">
        <v>132</v>
      </c>
      <c r="D98" s="567" t="s">
        <v>132</v>
      </c>
      <c r="E98" s="567" t="s">
        <v>132</v>
      </c>
      <c r="F98" s="567" t="s">
        <v>132</v>
      </c>
      <c r="G98" s="567" t="s">
        <v>132</v>
      </c>
      <c r="H98" s="567" t="s">
        <v>132</v>
      </c>
      <c r="I98" s="567" t="s">
        <v>132</v>
      </c>
      <c r="J98" s="567" t="s">
        <v>132</v>
      </c>
      <c r="K98" s="567" t="s">
        <v>132</v>
      </c>
      <c r="L98" s="203">
        <v>5459</v>
      </c>
      <c r="M98" s="203">
        <v>2249</v>
      </c>
      <c r="N98" s="397">
        <v>0.70062305295950156</v>
      </c>
      <c r="O98" s="203">
        <v>3007</v>
      </c>
      <c r="P98" s="203">
        <f t="shared" si="128"/>
        <v>-2452</v>
      </c>
      <c r="Q98" s="397">
        <f t="shared" si="107"/>
        <v>-0.44916651401355562</v>
      </c>
      <c r="R98" s="203">
        <v>4377</v>
      </c>
      <c r="S98" s="203">
        <f t="shared" si="108"/>
        <v>1370</v>
      </c>
      <c r="T98" s="397">
        <f t="shared" si="109"/>
        <v>0.45560359161955438</v>
      </c>
      <c r="U98" s="203">
        <v>4739</v>
      </c>
      <c r="V98" s="203">
        <f t="shared" si="129"/>
        <v>362</v>
      </c>
      <c r="W98" s="397">
        <f t="shared" si="130"/>
        <v>8.2705049120402108E-2</v>
      </c>
      <c r="X98" s="201">
        <v>4639</v>
      </c>
      <c r="Y98" s="203">
        <f t="shared" si="110"/>
        <v>-100</v>
      </c>
      <c r="Z98" s="484">
        <f t="shared" si="111"/>
        <v>-2.1101498206372651E-2</v>
      </c>
      <c r="AA98" s="203">
        <v>4462</v>
      </c>
      <c r="AB98" s="564">
        <f t="shared" si="112"/>
        <v>-177</v>
      </c>
      <c r="AC98" s="485">
        <f t="shared" si="113"/>
        <v>-3.8154774735934469E-2</v>
      </c>
      <c r="AD98" s="418">
        <v>3277</v>
      </c>
      <c r="AE98" s="418"/>
      <c r="AF98" s="203">
        <v>3561</v>
      </c>
      <c r="AG98" s="203">
        <f t="shared" si="114"/>
        <v>-901</v>
      </c>
      <c r="AH98" s="397">
        <f t="shared" si="115"/>
        <v>-0.20192738682205288</v>
      </c>
      <c r="AI98" s="418">
        <f>3277-128</f>
        <v>3149</v>
      </c>
      <c r="AJ98" s="148">
        <f>3277-128</f>
        <v>3149</v>
      </c>
      <c r="AK98" s="68">
        <v>4029</v>
      </c>
      <c r="AL98" s="354"/>
      <c r="AM98" s="203">
        <f t="shared" si="116"/>
        <v>4029</v>
      </c>
      <c r="AN98" s="148">
        <v>2043</v>
      </c>
      <c r="AO98" s="148">
        <v>2043</v>
      </c>
      <c r="AP98" s="418">
        <v>1423</v>
      </c>
      <c r="AQ98" s="418">
        <v>57</v>
      </c>
      <c r="AR98" s="418">
        <f t="shared" si="131"/>
        <v>1480</v>
      </c>
      <c r="AS98" s="418">
        <f t="shared" si="132"/>
        <v>3318.75083</v>
      </c>
      <c r="AT98" s="418">
        <f t="shared" si="133"/>
        <v>-242.24917000000005</v>
      </c>
      <c r="AU98" s="485">
        <f t="shared" si="134"/>
        <v>-6.8028410558831798E-2</v>
      </c>
      <c r="AV98" s="418">
        <f t="shared" si="117"/>
        <v>-242.24917000000005</v>
      </c>
      <c r="AW98" s="485">
        <f t="shared" si="118"/>
        <v>-6.8028410558831798E-2</v>
      </c>
      <c r="AX98" s="418">
        <v>1932</v>
      </c>
      <c r="AY98" s="203">
        <f t="shared" si="101"/>
        <v>-1629</v>
      </c>
      <c r="AZ98" s="362">
        <f t="shared" si="102"/>
        <v>-0.45745577085088457</v>
      </c>
      <c r="BA98" s="560">
        <v>1932.16346</v>
      </c>
      <c r="BB98" s="560">
        <v>1838.75083</v>
      </c>
      <c r="BC98" s="560">
        <f t="shared" si="135"/>
        <v>93.412630000000036</v>
      </c>
      <c r="BD98" s="304">
        <f t="shared" si="136"/>
        <v>4.8346132164201076E-2</v>
      </c>
      <c r="BE98" s="418">
        <v>1846</v>
      </c>
      <c r="BF98" s="203">
        <f t="shared" si="119"/>
        <v>-86</v>
      </c>
      <c r="BG98" s="362">
        <f t="shared" si="120"/>
        <v>-4.4513457556935816E-2</v>
      </c>
      <c r="BH98" s="418">
        <v>1394</v>
      </c>
      <c r="BI98" s="418"/>
      <c r="BJ98" s="418"/>
      <c r="BK98" s="418"/>
      <c r="BL98" s="309">
        <f t="shared" si="103"/>
        <v>3240</v>
      </c>
      <c r="BM98" s="309">
        <f t="shared" si="121"/>
        <v>-78.750829999999951</v>
      </c>
      <c r="BN98" s="309">
        <v>2007</v>
      </c>
      <c r="BO98" s="309">
        <v>2007</v>
      </c>
      <c r="BP98" s="206">
        <f t="shared" si="98"/>
        <v>161</v>
      </c>
      <c r="BQ98" s="362">
        <f t="shared" si="122"/>
        <v>-2.3729057718985175E-2</v>
      </c>
      <c r="BR98" s="205">
        <f t="shared" si="99"/>
        <v>8.7215601300108345E-2</v>
      </c>
      <c r="BS98" s="309">
        <v>1316</v>
      </c>
      <c r="BV98" s="66">
        <v>51</v>
      </c>
      <c r="BW98" s="207">
        <f t="shared" si="123"/>
        <v>3374</v>
      </c>
      <c r="BX98" s="206">
        <v>2007</v>
      </c>
      <c r="BY98" s="206"/>
      <c r="BZ98" s="206">
        <v>1973</v>
      </c>
      <c r="CA98" s="206">
        <f t="shared" si="100"/>
        <v>127</v>
      </c>
      <c r="CB98" s="199">
        <f t="shared" si="137"/>
        <v>6.8797399783315283E-2</v>
      </c>
      <c r="CC98" s="309">
        <v>2027</v>
      </c>
      <c r="CD98" s="309">
        <v>2027</v>
      </c>
      <c r="CE98" s="309"/>
      <c r="CF98" s="206">
        <v>2067</v>
      </c>
      <c r="CG98" s="206">
        <f t="shared" si="124"/>
        <v>94</v>
      </c>
      <c r="CH98" s="304">
        <f t="shared" si="125"/>
        <v>4.7643182970096301E-2</v>
      </c>
      <c r="CI98" s="309">
        <v>2085</v>
      </c>
      <c r="CJ98" s="309"/>
      <c r="CK98" s="309">
        <f t="shared" si="126"/>
        <v>2085</v>
      </c>
      <c r="CL98" s="206">
        <f t="shared" si="95"/>
        <v>18</v>
      </c>
      <c r="CM98" s="608">
        <f t="shared" si="127"/>
        <v>8.708272859216255E-3</v>
      </c>
      <c r="CN98" s="203">
        <v>4552</v>
      </c>
      <c r="CO98" s="206">
        <f t="shared" si="96"/>
        <v>2467</v>
      </c>
      <c r="CP98" s="304">
        <f t="shared" si="97"/>
        <v>1.1832134292565948</v>
      </c>
    </row>
    <row r="99" spans="1:94" ht="18" customHeight="1" x14ac:dyDescent="0.25">
      <c r="A99" s="313" t="s">
        <v>211</v>
      </c>
      <c r="B99" s="302">
        <v>2082</v>
      </c>
      <c r="C99" s="302">
        <v>3463</v>
      </c>
      <c r="D99" s="416">
        <f t="shared" si="77"/>
        <v>1381</v>
      </c>
      <c r="E99" s="563">
        <f>(C99-B99)/B99</f>
        <v>0.66330451488952935</v>
      </c>
      <c r="F99" s="204">
        <v>2848</v>
      </c>
      <c r="G99" s="204">
        <f t="shared" si="78"/>
        <v>-615</v>
      </c>
      <c r="H99" s="199">
        <f t="shared" ref="H99:H104" si="139">(F99-C99)/C99</f>
        <v>-0.17759168351140631</v>
      </c>
      <c r="I99" s="204">
        <v>3210</v>
      </c>
      <c r="J99" s="204">
        <f t="shared" si="79"/>
        <v>362</v>
      </c>
      <c r="K99" s="199">
        <f t="shared" ref="K99:K104" si="140">(I99-F99)/F99</f>
        <v>0.1271067415730337</v>
      </c>
      <c r="L99" s="204"/>
      <c r="M99" s="204"/>
      <c r="N99" s="304"/>
      <c r="O99" s="204"/>
      <c r="P99" s="204"/>
      <c r="Q99" s="304"/>
      <c r="R99" s="204"/>
      <c r="S99" s="204"/>
      <c r="T99" s="304"/>
      <c r="U99" s="204"/>
      <c r="V99" s="204"/>
      <c r="W99" s="304"/>
      <c r="Y99" s="204"/>
      <c r="AB99" s="374"/>
      <c r="AD99" s="200"/>
      <c r="AE99" s="200"/>
      <c r="AH99" s="304"/>
      <c r="AI99" s="200"/>
      <c r="AK99" s="68"/>
      <c r="AL99" s="354"/>
      <c r="AM99" s="204"/>
      <c r="AP99" s="200"/>
      <c r="AQ99" s="200"/>
      <c r="AR99" s="200">
        <f t="shared" si="131"/>
        <v>0</v>
      </c>
      <c r="AS99" s="418">
        <f t="shared" si="132"/>
        <v>0</v>
      </c>
      <c r="AT99" s="200">
        <f t="shared" si="133"/>
        <v>0</v>
      </c>
      <c r="AU99" s="205" t="e">
        <f t="shared" si="134"/>
        <v>#DIV/0!</v>
      </c>
      <c r="AV99" s="200"/>
      <c r="AW99" s="205"/>
      <c r="AX99" s="200"/>
      <c r="AY99" s="204">
        <f t="shared" si="101"/>
        <v>0</v>
      </c>
      <c r="AZ99" s="199" t="e">
        <f t="shared" si="102"/>
        <v>#DIV/0!</v>
      </c>
      <c r="BA99" s="199"/>
      <c r="BB99" s="199"/>
      <c r="BC99" s="560">
        <f t="shared" si="135"/>
        <v>0</v>
      </c>
      <c r="BE99" s="200"/>
      <c r="BF99" s="204">
        <f t="shared" si="119"/>
        <v>0</v>
      </c>
      <c r="BG99" s="199" t="e">
        <f t="shared" si="120"/>
        <v>#DIV/0!</v>
      </c>
      <c r="BH99" s="200"/>
      <c r="BI99" s="200"/>
      <c r="BJ99" s="200"/>
      <c r="BK99" s="200"/>
      <c r="BL99" s="206">
        <f t="shared" si="103"/>
        <v>0</v>
      </c>
      <c r="BM99" s="206">
        <f t="shared" si="121"/>
        <v>0</v>
      </c>
      <c r="BN99" s="206"/>
      <c r="BO99" s="206"/>
      <c r="BP99" s="206">
        <f t="shared" si="98"/>
        <v>0</v>
      </c>
      <c r="BQ99" s="199" t="e">
        <f t="shared" si="122"/>
        <v>#DIV/0!</v>
      </c>
      <c r="BR99" s="205" t="e">
        <f t="shared" si="99"/>
        <v>#DIV/0!</v>
      </c>
      <c r="BW99" s="207">
        <f t="shared" si="123"/>
        <v>0</v>
      </c>
      <c r="BX99" s="206"/>
      <c r="BY99" s="206"/>
      <c r="BZ99" s="206">
        <f t="shared" si="138"/>
        <v>0</v>
      </c>
      <c r="CA99" s="206">
        <f t="shared" si="100"/>
        <v>0</v>
      </c>
      <c r="CB99" s="199" t="e">
        <f t="shared" si="137"/>
        <v>#DIV/0!</v>
      </c>
      <c r="CC99" s="206"/>
      <c r="CD99" s="206"/>
      <c r="CE99" s="206"/>
      <c r="CF99" s="206">
        <f t="shared" ref="CF99:CF116" si="141">CD99+CE99</f>
        <v>0</v>
      </c>
      <c r="CG99" s="206">
        <f t="shared" si="124"/>
        <v>0</v>
      </c>
      <c r="CH99" s="304" t="e">
        <f t="shared" si="125"/>
        <v>#DIV/0!</v>
      </c>
      <c r="CI99" s="206">
        <v>0</v>
      </c>
      <c r="CJ99" s="206"/>
      <c r="CK99" s="206">
        <f t="shared" si="126"/>
        <v>0</v>
      </c>
      <c r="CL99" s="206">
        <f t="shared" si="95"/>
        <v>0</v>
      </c>
      <c r="CM99" s="608" t="e">
        <f t="shared" si="127"/>
        <v>#DIV/0!</v>
      </c>
      <c r="CN99" s="204">
        <v>0</v>
      </c>
      <c r="CO99" s="206">
        <f t="shared" si="96"/>
        <v>0</v>
      </c>
      <c r="CP99" s="304" t="e">
        <f t="shared" si="97"/>
        <v>#DIV/0!</v>
      </c>
    </row>
    <row r="100" spans="1:94" ht="18" customHeight="1" x14ac:dyDescent="0.25">
      <c r="A100" s="313" t="s">
        <v>212</v>
      </c>
      <c r="B100" s="302">
        <v>147</v>
      </c>
      <c r="C100" s="302">
        <v>165</v>
      </c>
      <c r="D100" s="416">
        <f t="shared" si="77"/>
        <v>18</v>
      </c>
      <c r="E100" s="563">
        <f>(C100-B100)/B100</f>
        <v>0.12244897959183673</v>
      </c>
      <c r="F100" s="204">
        <v>182</v>
      </c>
      <c r="G100" s="204">
        <f t="shared" si="78"/>
        <v>17</v>
      </c>
      <c r="H100" s="199">
        <f t="shared" si="139"/>
        <v>0.10303030303030303</v>
      </c>
      <c r="I100" s="204">
        <v>181</v>
      </c>
      <c r="J100" s="204">
        <f t="shared" si="79"/>
        <v>-1</v>
      </c>
      <c r="K100" s="199">
        <f t="shared" si="140"/>
        <v>-5.4945054945054949E-3</v>
      </c>
      <c r="L100" s="204">
        <v>177</v>
      </c>
      <c r="M100" s="204">
        <v>-4</v>
      </c>
      <c r="N100" s="304">
        <v>-2.2099447513812154E-2</v>
      </c>
      <c r="O100" s="204">
        <v>204</v>
      </c>
      <c r="P100" s="204">
        <f t="shared" si="128"/>
        <v>27</v>
      </c>
      <c r="Q100" s="304">
        <f t="shared" si="107"/>
        <v>0.15254237288135594</v>
      </c>
      <c r="R100" s="204">
        <v>227</v>
      </c>
      <c r="S100" s="204">
        <f t="shared" si="108"/>
        <v>23</v>
      </c>
      <c r="T100" s="304">
        <f t="shared" si="109"/>
        <v>0.11274509803921569</v>
      </c>
      <c r="U100" s="204">
        <v>238</v>
      </c>
      <c r="V100" s="204">
        <f t="shared" si="129"/>
        <v>11</v>
      </c>
      <c r="W100" s="304">
        <f t="shared" si="130"/>
        <v>4.8458149779735685E-2</v>
      </c>
      <c r="X100" s="201">
        <v>249</v>
      </c>
      <c r="Y100" s="204">
        <f t="shared" si="110"/>
        <v>11</v>
      </c>
      <c r="Z100" s="484">
        <f t="shared" si="111"/>
        <v>4.6218487394957986E-2</v>
      </c>
      <c r="AA100" s="203">
        <v>271</v>
      </c>
      <c r="AB100" s="374">
        <f t="shared" si="112"/>
        <v>22</v>
      </c>
      <c r="AC100" s="205">
        <f t="shared" si="113"/>
        <v>8.8353413654618476E-2</v>
      </c>
      <c r="AD100" s="200">
        <v>0</v>
      </c>
      <c r="AE100" s="200"/>
      <c r="AF100" s="204">
        <v>0</v>
      </c>
      <c r="AG100" s="204">
        <f t="shared" si="114"/>
        <v>-271</v>
      </c>
      <c r="AH100" s="304">
        <f t="shared" si="115"/>
        <v>-1</v>
      </c>
      <c r="AI100" s="200">
        <v>0</v>
      </c>
      <c r="AJ100" s="66">
        <v>0</v>
      </c>
      <c r="AL100" s="354"/>
      <c r="AM100" s="204">
        <f t="shared" si="116"/>
        <v>0</v>
      </c>
      <c r="AN100" s="66">
        <v>0</v>
      </c>
      <c r="AO100" s="66">
        <v>0</v>
      </c>
      <c r="AP100" s="200">
        <v>0</v>
      </c>
      <c r="AQ100" s="200">
        <v>0</v>
      </c>
      <c r="AR100" s="200">
        <f t="shared" si="131"/>
        <v>0</v>
      </c>
      <c r="AS100" s="418">
        <f t="shared" si="132"/>
        <v>0</v>
      </c>
      <c r="AT100" s="200">
        <f t="shared" si="133"/>
        <v>0</v>
      </c>
      <c r="AU100" s="205" t="e">
        <f t="shared" si="134"/>
        <v>#DIV/0!</v>
      </c>
      <c r="AV100" s="200">
        <f t="shared" si="117"/>
        <v>0</v>
      </c>
      <c r="AW100" s="205" t="e">
        <f t="shared" si="118"/>
        <v>#DIV/0!</v>
      </c>
      <c r="AX100" s="200">
        <v>0</v>
      </c>
      <c r="AY100" s="204">
        <f t="shared" si="101"/>
        <v>0</v>
      </c>
      <c r="AZ100" s="199" t="e">
        <f t="shared" si="102"/>
        <v>#DIV/0!</v>
      </c>
      <c r="BA100" s="560">
        <v>0</v>
      </c>
      <c r="BB100" s="560">
        <v>0</v>
      </c>
      <c r="BC100" s="560">
        <f t="shared" si="135"/>
        <v>0</v>
      </c>
      <c r="BE100" s="200">
        <v>0</v>
      </c>
      <c r="BF100" s="204">
        <f t="shared" si="119"/>
        <v>0</v>
      </c>
      <c r="BG100" s="199" t="e">
        <f t="shared" si="120"/>
        <v>#DIV/0!</v>
      </c>
      <c r="BH100" s="200"/>
      <c r="BI100" s="200"/>
      <c r="BJ100" s="200"/>
      <c r="BK100" s="200"/>
      <c r="BL100" s="206">
        <f t="shared" si="103"/>
        <v>0</v>
      </c>
      <c r="BM100" s="206">
        <f t="shared" si="121"/>
        <v>0</v>
      </c>
      <c r="BN100" s="206">
        <v>0</v>
      </c>
      <c r="BO100" s="206"/>
      <c r="BP100" s="206">
        <f t="shared" si="98"/>
        <v>0</v>
      </c>
      <c r="BQ100" s="199" t="e">
        <f t="shared" si="122"/>
        <v>#DIV/0!</v>
      </c>
      <c r="BR100" s="205" t="e">
        <f t="shared" si="99"/>
        <v>#DIV/0!</v>
      </c>
      <c r="BW100" s="207">
        <f t="shared" si="123"/>
        <v>0</v>
      </c>
      <c r="BX100" s="206">
        <v>0</v>
      </c>
      <c r="BY100" s="206"/>
      <c r="BZ100" s="206">
        <f>BX100+BY100</f>
        <v>0</v>
      </c>
      <c r="CA100" s="206">
        <f t="shared" si="100"/>
        <v>0</v>
      </c>
      <c r="CB100" s="199" t="e">
        <f t="shared" si="137"/>
        <v>#DIV/0!</v>
      </c>
      <c r="CC100" s="206">
        <v>295</v>
      </c>
      <c r="CD100" s="206">
        <v>0</v>
      </c>
      <c r="CE100" s="206"/>
      <c r="CF100" s="206">
        <f t="shared" si="141"/>
        <v>0</v>
      </c>
      <c r="CG100" s="206">
        <f t="shared" si="124"/>
        <v>0</v>
      </c>
      <c r="CH100" s="304" t="e">
        <f t="shared" si="125"/>
        <v>#DIV/0!</v>
      </c>
      <c r="CI100" s="206">
        <v>0</v>
      </c>
      <c r="CJ100" s="206"/>
      <c r="CK100" s="206">
        <f t="shared" si="126"/>
        <v>0</v>
      </c>
      <c r="CL100" s="206">
        <f t="shared" si="95"/>
        <v>0</v>
      </c>
      <c r="CM100" s="608" t="e">
        <f t="shared" si="127"/>
        <v>#DIV/0!</v>
      </c>
      <c r="CN100" s="204">
        <v>0</v>
      </c>
      <c r="CO100" s="206">
        <f t="shared" si="96"/>
        <v>0</v>
      </c>
      <c r="CP100" s="304" t="e">
        <f t="shared" si="97"/>
        <v>#DIV/0!</v>
      </c>
    </row>
    <row r="101" spans="1:94" ht="18" customHeight="1" x14ac:dyDescent="0.25">
      <c r="A101" s="313" t="s">
        <v>213</v>
      </c>
      <c r="B101" s="302">
        <v>83</v>
      </c>
      <c r="C101" s="302">
        <v>84</v>
      </c>
      <c r="D101" s="416">
        <f t="shared" si="77"/>
        <v>1</v>
      </c>
      <c r="E101" s="563">
        <f>(C101-B101)/B101</f>
        <v>1.2048192771084338E-2</v>
      </c>
      <c r="F101" s="204">
        <v>93</v>
      </c>
      <c r="G101" s="204">
        <f t="shared" si="78"/>
        <v>9</v>
      </c>
      <c r="H101" s="199">
        <f t="shared" si="139"/>
        <v>0.10714285714285714</v>
      </c>
      <c r="I101" s="204">
        <v>113</v>
      </c>
      <c r="J101" s="204">
        <f t="shared" si="79"/>
        <v>20</v>
      </c>
      <c r="K101" s="199">
        <f t="shared" si="140"/>
        <v>0.21505376344086022</v>
      </c>
      <c r="L101" s="204">
        <v>106</v>
      </c>
      <c r="M101" s="204">
        <v>-7</v>
      </c>
      <c r="N101" s="304">
        <v>-6.1946902654867256E-2</v>
      </c>
      <c r="O101" s="204">
        <v>103</v>
      </c>
      <c r="P101" s="204">
        <f t="shared" si="128"/>
        <v>-3</v>
      </c>
      <c r="Q101" s="304">
        <f t="shared" si="107"/>
        <v>-2.8301886792452831E-2</v>
      </c>
      <c r="R101" s="204">
        <v>122</v>
      </c>
      <c r="S101" s="204">
        <f t="shared" si="108"/>
        <v>19</v>
      </c>
      <c r="T101" s="304">
        <f t="shared" si="109"/>
        <v>0.18446601941747573</v>
      </c>
      <c r="U101" s="204">
        <v>135</v>
      </c>
      <c r="V101" s="204">
        <f t="shared" si="129"/>
        <v>13</v>
      </c>
      <c r="W101" s="304">
        <f t="shared" si="130"/>
        <v>0.10655737704918032</v>
      </c>
      <c r="X101" s="201">
        <v>103</v>
      </c>
      <c r="Y101" s="204">
        <f t="shared" si="110"/>
        <v>-32</v>
      </c>
      <c r="Z101" s="484">
        <f t="shared" si="111"/>
        <v>-0.23703703703703705</v>
      </c>
      <c r="AA101" s="203">
        <v>152</v>
      </c>
      <c r="AB101" s="374">
        <f t="shared" si="112"/>
        <v>49</v>
      </c>
      <c r="AC101" s="205">
        <f t="shared" si="113"/>
        <v>0.47572815533980584</v>
      </c>
      <c r="AD101" s="200">
        <v>0</v>
      </c>
      <c r="AE101" s="200"/>
      <c r="AF101" s="204">
        <v>0</v>
      </c>
      <c r="AG101" s="204">
        <f t="shared" si="114"/>
        <v>-152</v>
      </c>
      <c r="AH101" s="304">
        <f t="shared" si="115"/>
        <v>-1</v>
      </c>
      <c r="AI101" s="200">
        <v>0</v>
      </c>
      <c r="AJ101" s="66">
        <v>0</v>
      </c>
      <c r="AL101" s="354"/>
      <c r="AM101" s="204">
        <f t="shared" si="116"/>
        <v>0</v>
      </c>
      <c r="AN101" s="66">
        <v>0</v>
      </c>
      <c r="AO101" s="66">
        <v>0</v>
      </c>
      <c r="AP101" s="200">
        <v>0</v>
      </c>
      <c r="AQ101" s="200">
        <v>0</v>
      </c>
      <c r="AR101" s="200">
        <f t="shared" si="131"/>
        <v>0</v>
      </c>
      <c r="AS101" s="418">
        <f t="shared" si="132"/>
        <v>0</v>
      </c>
      <c r="AT101" s="200">
        <f t="shared" si="133"/>
        <v>0</v>
      </c>
      <c r="AU101" s="205" t="e">
        <f t="shared" si="134"/>
        <v>#DIV/0!</v>
      </c>
      <c r="AV101" s="200">
        <f t="shared" si="117"/>
        <v>0</v>
      </c>
      <c r="AW101" s="205" t="e">
        <f t="shared" si="118"/>
        <v>#DIV/0!</v>
      </c>
      <c r="AX101" s="200">
        <v>0</v>
      </c>
      <c r="AY101" s="204">
        <f t="shared" si="101"/>
        <v>0</v>
      </c>
      <c r="AZ101" s="199" t="e">
        <f t="shared" si="102"/>
        <v>#DIV/0!</v>
      </c>
      <c r="BA101" s="560">
        <v>0</v>
      </c>
      <c r="BB101" s="560">
        <v>0</v>
      </c>
      <c r="BC101" s="560">
        <f t="shared" si="135"/>
        <v>0</v>
      </c>
      <c r="BE101" s="200">
        <v>0</v>
      </c>
      <c r="BF101" s="204">
        <f t="shared" si="119"/>
        <v>0</v>
      </c>
      <c r="BG101" s="199" t="e">
        <f t="shared" si="120"/>
        <v>#DIV/0!</v>
      </c>
      <c r="BH101" s="200"/>
      <c r="BI101" s="200"/>
      <c r="BJ101" s="200"/>
      <c r="BK101" s="200"/>
      <c r="BL101" s="206">
        <f t="shared" si="103"/>
        <v>0</v>
      </c>
      <c r="BM101" s="206">
        <f t="shared" si="121"/>
        <v>0</v>
      </c>
      <c r="BN101" s="206"/>
      <c r="BO101" s="206"/>
      <c r="BP101" s="206">
        <f t="shared" si="98"/>
        <v>0</v>
      </c>
      <c r="BQ101" s="199" t="e">
        <f t="shared" si="122"/>
        <v>#DIV/0!</v>
      </c>
      <c r="BR101" s="205" t="e">
        <f t="shared" si="99"/>
        <v>#DIV/0!</v>
      </c>
      <c r="BV101" s="66">
        <v>7</v>
      </c>
      <c r="BW101" s="207">
        <f t="shared" si="123"/>
        <v>7</v>
      </c>
      <c r="BX101" s="206">
        <v>0</v>
      </c>
      <c r="BY101" s="206"/>
      <c r="BZ101" s="206">
        <f t="shared" si="138"/>
        <v>0</v>
      </c>
      <c r="CA101" s="206">
        <f t="shared" si="100"/>
        <v>0</v>
      </c>
      <c r="CB101" s="199" t="e">
        <f t="shared" si="137"/>
        <v>#DIV/0!</v>
      </c>
      <c r="CC101" s="206">
        <v>205</v>
      </c>
      <c r="CD101" s="206">
        <v>65</v>
      </c>
      <c r="CE101" s="206"/>
      <c r="CF101" s="206">
        <v>58</v>
      </c>
      <c r="CG101" s="206">
        <f t="shared" si="124"/>
        <v>58</v>
      </c>
      <c r="CH101" s="304" t="e">
        <f t="shared" si="125"/>
        <v>#DIV/0!</v>
      </c>
      <c r="CI101" s="206">
        <v>0</v>
      </c>
      <c r="CJ101" s="206"/>
      <c r="CK101" s="206">
        <f t="shared" si="126"/>
        <v>0</v>
      </c>
      <c r="CL101" s="206">
        <f t="shared" si="95"/>
        <v>-58</v>
      </c>
      <c r="CM101" s="608">
        <f t="shared" si="127"/>
        <v>-1</v>
      </c>
      <c r="CN101" s="204">
        <v>0</v>
      </c>
      <c r="CO101" s="206">
        <f t="shared" si="96"/>
        <v>0</v>
      </c>
      <c r="CP101" s="304" t="e">
        <f t="shared" si="97"/>
        <v>#DIV/0!</v>
      </c>
    </row>
    <row r="102" spans="1:94" s="148" customFormat="1" ht="18" customHeight="1" x14ac:dyDescent="0.25">
      <c r="A102" s="312" t="s">
        <v>214</v>
      </c>
      <c r="B102" s="416">
        <v>218</v>
      </c>
      <c r="C102" s="416">
        <v>1117</v>
      </c>
      <c r="D102" s="416">
        <f t="shared" si="77"/>
        <v>899</v>
      </c>
      <c r="E102" s="563">
        <f>(C102-B102)/B102</f>
        <v>4.1238532110091741</v>
      </c>
      <c r="F102" s="203">
        <v>1168</v>
      </c>
      <c r="G102" s="203">
        <f t="shared" si="78"/>
        <v>51</v>
      </c>
      <c r="H102" s="362">
        <f t="shared" si="139"/>
        <v>4.5658012533572066E-2</v>
      </c>
      <c r="I102" s="203">
        <v>1324</v>
      </c>
      <c r="J102" s="203">
        <f t="shared" si="79"/>
        <v>156</v>
      </c>
      <c r="K102" s="362">
        <f t="shared" si="140"/>
        <v>0.13356164383561644</v>
      </c>
      <c r="L102" s="203">
        <v>1444</v>
      </c>
      <c r="M102" s="203">
        <v>120</v>
      </c>
      <c r="N102" s="397">
        <v>9.0634441087613288E-2</v>
      </c>
      <c r="O102" s="203">
        <v>1715</v>
      </c>
      <c r="P102" s="203">
        <f t="shared" si="128"/>
        <v>271</v>
      </c>
      <c r="Q102" s="397">
        <f t="shared" si="107"/>
        <v>0.18767313019390583</v>
      </c>
      <c r="R102" s="203">
        <v>2082</v>
      </c>
      <c r="S102" s="203">
        <f t="shared" si="108"/>
        <v>367</v>
      </c>
      <c r="T102" s="397">
        <f t="shared" si="109"/>
        <v>0.21399416909620991</v>
      </c>
      <c r="U102" s="203">
        <v>2191</v>
      </c>
      <c r="V102" s="203">
        <f t="shared" si="129"/>
        <v>109</v>
      </c>
      <c r="W102" s="397">
        <f t="shared" si="130"/>
        <v>5.2353506243996158E-2</v>
      </c>
      <c r="X102" s="201">
        <v>2282</v>
      </c>
      <c r="Y102" s="203">
        <f t="shared" si="110"/>
        <v>91</v>
      </c>
      <c r="Z102" s="484">
        <f t="shared" si="111"/>
        <v>4.1533546325878593E-2</v>
      </c>
      <c r="AA102" s="203">
        <v>2618</v>
      </c>
      <c r="AB102" s="564">
        <f t="shared" si="112"/>
        <v>336</v>
      </c>
      <c r="AC102" s="485">
        <f t="shared" si="113"/>
        <v>0.14723926380368099</v>
      </c>
      <c r="AD102" s="418">
        <v>2618</v>
      </c>
      <c r="AE102" s="418"/>
      <c r="AF102" s="203">
        <v>2587</v>
      </c>
      <c r="AG102" s="203">
        <f t="shared" si="114"/>
        <v>-31</v>
      </c>
      <c r="AH102" s="397">
        <f t="shared" si="115"/>
        <v>-1.1841100076394193E-2</v>
      </c>
      <c r="AI102" s="418">
        <v>2618</v>
      </c>
      <c r="AJ102" s="148">
        <v>2618</v>
      </c>
      <c r="AK102" s="148">
        <v>2687</v>
      </c>
      <c r="AL102" s="354"/>
      <c r="AM102" s="203">
        <f t="shared" si="116"/>
        <v>2687</v>
      </c>
      <c r="AN102" s="148">
        <v>2070</v>
      </c>
      <c r="AO102" s="148">
        <v>2070</v>
      </c>
      <c r="AP102" s="418">
        <v>480</v>
      </c>
      <c r="AQ102" s="418">
        <v>9</v>
      </c>
      <c r="AR102" s="418">
        <f t="shared" si="131"/>
        <v>489</v>
      </c>
      <c r="AS102" s="418">
        <f t="shared" si="132"/>
        <v>2259.24496</v>
      </c>
      <c r="AT102" s="418">
        <f t="shared" si="133"/>
        <v>-327.75504000000001</v>
      </c>
      <c r="AU102" s="485">
        <f t="shared" si="134"/>
        <v>-0.12669309625048319</v>
      </c>
      <c r="AV102" s="418">
        <f t="shared" si="117"/>
        <v>-327.75504000000001</v>
      </c>
      <c r="AW102" s="485">
        <f t="shared" si="118"/>
        <v>-0.12669309625048319</v>
      </c>
      <c r="AX102" s="418">
        <v>2058</v>
      </c>
      <c r="AY102" s="203">
        <f t="shared" si="101"/>
        <v>-529</v>
      </c>
      <c r="AZ102" s="362">
        <f t="shared" si="102"/>
        <v>-0.20448395825280247</v>
      </c>
      <c r="BA102" s="560">
        <v>2057.5892600000002</v>
      </c>
      <c r="BB102" s="560">
        <v>1770.24496</v>
      </c>
      <c r="BC102" s="560">
        <f t="shared" si="135"/>
        <v>287.3443000000002</v>
      </c>
      <c r="BD102" s="304">
        <f t="shared" si="136"/>
        <v>0.13965095249379372</v>
      </c>
      <c r="BE102" s="418">
        <v>1909</v>
      </c>
      <c r="BF102" s="203">
        <f t="shared" si="119"/>
        <v>-149</v>
      </c>
      <c r="BG102" s="362">
        <f t="shared" si="120"/>
        <v>-7.240038872691934E-2</v>
      </c>
      <c r="BH102" s="418">
        <v>475</v>
      </c>
      <c r="BI102" s="418"/>
      <c r="BJ102" s="418"/>
      <c r="BK102" s="418">
        <v>17</v>
      </c>
      <c r="BL102" s="309">
        <f t="shared" si="103"/>
        <v>2401</v>
      </c>
      <c r="BM102" s="309">
        <f t="shared" si="121"/>
        <v>141.75504000000001</v>
      </c>
      <c r="BN102" s="309">
        <v>2091</v>
      </c>
      <c r="BO102" s="309">
        <v>2091</v>
      </c>
      <c r="BP102" s="206">
        <f t="shared" si="98"/>
        <v>182</v>
      </c>
      <c r="BQ102" s="362">
        <f t="shared" si="122"/>
        <v>6.2744431219180413E-2</v>
      </c>
      <c r="BR102" s="205">
        <f t="shared" si="99"/>
        <v>9.5337873232058667E-2</v>
      </c>
      <c r="BS102" s="309">
        <v>630</v>
      </c>
      <c r="BV102" s="66">
        <v>11</v>
      </c>
      <c r="BW102" s="207">
        <f t="shared" si="123"/>
        <v>2732</v>
      </c>
      <c r="BX102" s="206">
        <v>2091</v>
      </c>
      <c r="BY102" s="206"/>
      <c r="BZ102" s="206">
        <v>2037</v>
      </c>
      <c r="CA102" s="206">
        <f t="shared" si="100"/>
        <v>128</v>
      </c>
      <c r="CB102" s="199">
        <f t="shared" si="137"/>
        <v>6.7050811943425881E-2</v>
      </c>
      <c r="CC102" s="309">
        <v>2110</v>
      </c>
      <c r="CD102" s="309">
        <v>2110</v>
      </c>
      <c r="CE102" s="309"/>
      <c r="CF102" s="206">
        <v>2080</v>
      </c>
      <c r="CG102" s="206">
        <f t="shared" si="124"/>
        <v>43</v>
      </c>
      <c r="CH102" s="304">
        <f t="shared" si="125"/>
        <v>2.1109474717722142E-2</v>
      </c>
      <c r="CI102" s="309">
        <v>2241</v>
      </c>
      <c r="CJ102" s="309"/>
      <c r="CK102" s="309">
        <f t="shared" si="126"/>
        <v>2241</v>
      </c>
      <c r="CL102" s="206">
        <f t="shared" si="95"/>
        <v>161</v>
      </c>
      <c r="CM102" s="608">
        <f t="shared" si="127"/>
        <v>7.7403846153846156E-2</v>
      </c>
      <c r="CN102" s="203">
        <v>2292</v>
      </c>
      <c r="CO102" s="206">
        <f t="shared" si="96"/>
        <v>51</v>
      </c>
      <c r="CP102" s="304">
        <f t="shared" si="97"/>
        <v>2.2757697456492636E-2</v>
      </c>
    </row>
    <row r="103" spans="1:94" s="148" customFormat="1" ht="18" customHeight="1" x14ac:dyDescent="0.25">
      <c r="A103" s="312" t="s">
        <v>215</v>
      </c>
      <c r="B103" s="416">
        <v>100</v>
      </c>
      <c r="C103" s="416">
        <v>392</v>
      </c>
      <c r="D103" s="416">
        <f t="shared" si="77"/>
        <v>292</v>
      </c>
      <c r="E103" s="563">
        <f>(C103-B103)/B103</f>
        <v>2.92</v>
      </c>
      <c r="F103" s="203">
        <v>416</v>
      </c>
      <c r="G103" s="203">
        <f t="shared" si="78"/>
        <v>24</v>
      </c>
      <c r="H103" s="362">
        <f t="shared" si="139"/>
        <v>6.1224489795918366E-2</v>
      </c>
      <c r="I103" s="203">
        <v>483</v>
      </c>
      <c r="J103" s="203">
        <f t="shared" si="79"/>
        <v>67</v>
      </c>
      <c r="K103" s="362">
        <f t="shared" si="140"/>
        <v>0.16105769230769232</v>
      </c>
      <c r="L103" s="203">
        <v>606</v>
      </c>
      <c r="M103" s="203">
        <v>123</v>
      </c>
      <c r="N103" s="397">
        <v>0.25465838509316768</v>
      </c>
      <c r="O103" s="203">
        <v>537</v>
      </c>
      <c r="P103" s="203">
        <f t="shared" si="128"/>
        <v>-69</v>
      </c>
      <c r="Q103" s="397">
        <f t="shared" si="107"/>
        <v>-0.11386138613861387</v>
      </c>
      <c r="R103" s="203">
        <v>651</v>
      </c>
      <c r="S103" s="203">
        <f t="shared" si="108"/>
        <v>114</v>
      </c>
      <c r="T103" s="397">
        <f t="shared" si="109"/>
        <v>0.21229050279329609</v>
      </c>
      <c r="U103" s="203">
        <v>643</v>
      </c>
      <c r="V103" s="203">
        <f t="shared" si="129"/>
        <v>-8</v>
      </c>
      <c r="W103" s="397">
        <f t="shared" si="130"/>
        <v>-1.2288786482334869E-2</v>
      </c>
      <c r="X103" s="201">
        <v>583</v>
      </c>
      <c r="Y103" s="203">
        <f t="shared" si="110"/>
        <v>-60</v>
      </c>
      <c r="Z103" s="484">
        <f t="shared" si="111"/>
        <v>-9.3312597200622086E-2</v>
      </c>
      <c r="AA103" s="203">
        <v>779</v>
      </c>
      <c r="AB103" s="564">
        <f t="shared" si="112"/>
        <v>196</v>
      </c>
      <c r="AC103" s="485">
        <f t="shared" si="113"/>
        <v>0.33619210977701541</v>
      </c>
      <c r="AD103" s="418">
        <v>816</v>
      </c>
      <c r="AE103" s="418"/>
      <c r="AF103" s="203">
        <v>794</v>
      </c>
      <c r="AG103" s="203">
        <f t="shared" si="114"/>
        <v>15</v>
      </c>
      <c r="AH103" s="397">
        <f t="shared" si="115"/>
        <v>1.9255455712451863E-2</v>
      </c>
      <c r="AI103" s="418">
        <v>816</v>
      </c>
      <c r="AJ103" s="148">
        <v>816</v>
      </c>
      <c r="AK103" s="148">
        <v>838</v>
      </c>
      <c r="AL103" s="354"/>
      <c r="AM103" s="203">
        <f t="shared" si="116"/>
        <v>838</v>
      </c>
      <c r="AN103" s="148">
        <v>709</v>
      </c>
      <c r="AO103" s="148">
        <v>709</v>
      </c>
      <c r="AP103" s="418">
        <v>28</v>
      </c>
      <c r="AQ103" s="418">
        <v>2</v>
      </c>
      <c r="AR103" s="418">
        <f t="shared" si="131"/>
        <v>30</v>
      </c>
      <c r="AS103" s="418">
        <f t="shared" si="132"/>
        <v>660.24746000000005</v>
      </c>
      <c r="AT103" s="418">
        <f t="shared" si="133"/>
        <v>-133.75253999999995</v>
      </c>
      <c r="AU103" s="485">
        <f t="shared" si="134"/>
        <v>-0.16845408060453396</v>
      </c>
      <c r="AV103" s="418">
        <f t="shared" si="117"/>
        <v>-133.75253999999995</v>
      </c>
      <c r="AW103" s="485">
        <f t="shared" si="118"/>
        <v>-0.16845408060453396</v>
      </c>
      <c r="AX103" s="418">
        <v>768</v>
      </c>
      <c r="AY103" s="203">
        <f t="shared" si="101"/>
        <v>-26</v>
      </c>
      <c r="AZ103" s="362">
        <f t="shared" si="102"/>
        <v>-3.2745591939546598E-2</v>
      </c>
      <c r="BA103" s="560">
        <v>768.47098000000005</v>
      </c>
      <c r="BB103" s="560">
        <v>630.24746000000005</v>
      </c>
      <c r="BC103" s="560">
        <f t="shared" si="135"/>
        <v>138.22352000000001</v>
      </c>
      <c r="BD103" s="304">
        <f t="shared" si="136"/>
        <v>0.17986823653379858</v>
      </c>
      <c r="BE103" s="418">
        <v>888</v>
      </c>
      <c r="BF103" s="203">
        <f t="shared" si="119"/>
        <v>120</v>
      </c>
      <c r="BG103" s="362">
        <f t="shared" si="120"/>
        <v>0.15625</v>
      </c>
      <c r="BH103" s="418">
        <v>22</v>
      </c>
      <c r="BI103" s="418"/>
      <c r="BJ103" s="418"/>
      <c r="BK103" s="418"/>
      <c r="BL103" s="309">
        <f t="shared" si="103"/>
        <v>910</v>
      </c>
      <c r="BM103" s="309">
        <f t="shared" si="121"/>
        <v>249.75253999999995</v>
      </c>
      <c r="BN103" s="309">
        <v>907</v>
      </c>
      <c r="BO103" s="309">
        <v>1389</v>
      </c>
      <c r="BP103" s="206">
        <f t="shared" si="98"/>
        <v>501</v>
      </c>
      <c r="BQ103" s="362">
        <f t="shared" si="122"/>
        <v>0.37827111065296631</v>
      </c>
      <c r="BR103" s="205">
        <f t="shared" si="99"/>
        <v>0.56418918918918914</v>
      </c>
      <c r="BS103" s="309">
        <v>27</v>
      </c>
      <c r="BV103" s="66">
        <v>16</v>
      </c>
      <c r="BW103" s="207">
        <f t="shared" si="123"/>
        <v>950</v>
      </c>
      <c r="BX103" s="206">
        <v>1389</v>
      </c>
      <c r="BY103" s="206"/>
      <c r="BZ103" s="206">
        <v>1128</v>
      </c>
      <c r="CA103" s="206">
        <f t="shared" si="100"/>
        <v>240</v>
      </c>
      <c r="CB103" s="199">
        <f t="shared" si="137"/>
        <v>0.27027027027027029</v>
      </c>
      <c r="CC103" s="309">
        <v>1407</v>
      </c>
      <c r="CD103" s="309">
        <v>1407</v>
      </c>
      <c r="CE103" s="309"/>
      <c r="CF103" s="206">
        <v>1267</v>
      </c>
      <c r="CG103" s="206">
        <f t="shared" si="124"/>
        <v>139</v>
      </c>
      <c r="CH103" s="304">
        <f t="shared" si="125"/>
        <v>0.12322695035460993</v>
      </c>
      <c r="CI103" s="309">
        <v>1401</v>
      </c>
      <c r="CJ103" s="309"/>
      <c r="CK103" s="309">
        <f t="shared" si="126"/>
        <v>1401</v>
      </c>
      <c r="CL103" s="206">
        <f t="shared" si="95"/>
        <v>134</v>
      </c>
      <c r="CM103" s="608">
        <f t="shared" si="127"/>
        <v>0.10576164167324388</v>
      </c>
      <c r="CN103" s="203">
        <v>1526</v>
      </c>
      <c r="CO103" s="206">
        <f t="shared" si="96"/>
        <v>125</v>
      </c>
      <c r="CP103" s="304">
        <f t="shared" si="97"/>
        <v>8.9221984296930762E-2</v>
      </c>
    </row>
    <row r="104" spans="1:94" s="148" customFormat="1" ht="18" customHeight="1" x14ac:dyDescent="0.25">
      <c r="A104" s="312" t="s">
        <v>216</v>
      </c>
      <c r="B104" s="416">
        <v>0</v>
      </c>
      <c r="C104" s="416">
        <f>4305+106</f>
        <v>4411</v>
      </c>
      <c r="D104" s="416">
        <f t="shared" si="77"/>
        <v>4411</v>
      </c>
      <c r="E104" s="567" t="s">
        <v>132</v>
      </c>
      <c r="F104" s="203">
        <f>4746+97</f>
        <v>4843</v>
      </c>
      <c r="G104" s="203">
        <f t="shared" si="78"/>
        <v>432</v>
      </c>
      <c r="H104" s="362">
        <f t="shared" si="139"/>
        <v>9.7936975742462032E-2</v>
      </c>
      <c r="I104" s="203">
        <v>5107</v>
      </c>
      <c r="J104" s="203">
        <f t="shared" si="79"/>
        <v>264</v>
      </c>
      <c r="K104" s="362">
        <f t="shared" si="140"/>
        <v>5.4511666322527359E-2</v>
      </c>
      <c r="L104" s="203">
        <v>5891</v>
      </c>
      <c r="M104" s="203">
        <v>784</v>
      </c>
      <c r="N104" s="397">
        <v>0.15351478363031135</v>
      </c>
      <c r="O104" s="203">
        <v>6362</v>
      </c>
      <c r="P104" s="203">
        <f t="shared" si="128"/>
        <v>471</v>
      </c>
      <c r="Q104" s="397">
        <f t="shared" si="107"/>
        <v>7.9952469869292137E-2</v>
      </c>
      <c r="R104" s="203">
        <v>8548</v>
      </c>
      <c r="S104" s="203">
        <f t="shared" si="108"/>
        <v>2186</v>
      </c>
      <c r="T104" s="397">
        <f t="shared" si="109"/>
        <v>0.34360264067903173</v>
      </c>
      <c r="U104" s="203">
        <v>8339</v>
      </c>
      <c r="V104" s="203">
        <f t="shared" si="129"/>
        <v>-209</v>
      </c>
      <c r="W104" s="397">
        <f t="shared" si="130"/>
        <v>-2.4450163781001403E-2</v>
      </c>
      <c r="X104" s="201">
        <v>9166</v>
      </c>
      <c r="Y104" s="203">
        <f t="shared" si="110"/>
        <v>827</v>
      </c>
      <c r="Z104" s="484">
        <f t="shared" si="111"/>
        <v>9.9172562657392979E-2</v>
      </c>
      <c r="AA104" s="203">
        <v>10020</v>
      </c>
      <c r="AB104" s="564">
        <f t="shared" si="112"/>
        <v>854</v>
      </c>
      <c r="AC104" s="485">
        <f t="shared" si="113"/>
        <v>9.3170412393628624E-2</v>
      </c>
      <c r="AD104" s="418">
        <v>8364</v>
      </c>
      <c r="AE104" s="418">
        <v>274</v>
      </c>
      <c r="AF104" s="203">
        <v>8074</v>
      </c>
      <c r="AG104" s="203">
        <f t="shared" si="114"/>
        <v>-1946</v>
      </c>
      <c r="AH104" s="397">
        <f t="shared" si="115"/>
        <v>-0.19421157684630738</v>
      </c>
      <c r="AI104" s="418">
        <f>8364-151</f>
        <v>8213</v>
      </c>
      <c r="AJ104" s="148">
        <f>8638-151</f>
        <v>8487</v>
      </c>
      <c r="AK104" s="148">
        <v>8630</v>
      </c>
      <c r="AL104" s="354"/>
      <c r="AM104" s="203">
        <f t="shared" si="116"/>
        <v>8630</v>
      </c>
      <c r="AN104" s="148">
        <v>7396</v>
      </c>
      <c r="AO104" s="148">
        <v>7664</v>
      </c>
      <c r="AP104" s="418">
        <v>742</v>
      </c>
      <c r="AQ104" s="418">
        <v>47</v>
      </c>
      <c r="AR104" s="418">
        <f t="shared" si="131"/>
        <v>789</v>
      </c>
      <c r="AS104" s="418">
        <f t="shared" si="132"/>
        <v>7942.7015199999996</v>
      </c>
      <c r="AT104" s="418">
        <f t="shared" si="133"/>
        <v>-131.29848000000038</v>
      </c>
      <c r="AU104" s="485">
        <f t="shared" si="134"/>
        <v>-1.626188754025271E-2</v>
      </c>
      <c r="AV104" s="418">
        <f t="shared" si="117"/>
        <v>-131.29848000000038</v>
      </c>
      <c r="AW104" s="485">
        <f t="shared" si="118"/>
        <v>-1.626188754025271E-2</v>
      </c>
      <c r="AX104" s="418">
        <v>7378</v>
      </c>
      <c r="AY104" s="203">
        <f t="shared" si="101"/>
        <v>-696</v>
      </c>
      <c r="AZ104" s="362">
        <f t="shared" si="102"/>
        <v>-8.6202625712162501E-2</v>
      </c>
      <c r="BA104" s="560">
        <f>7112.68873+265.5727</f>
        <v>7378.2614299999996</v>
      </c>
      <c r="BB104" s="560">
        <f>6923.28241+230.41911</f>
        <v>7153.7015199999996</v>
      </c>
      <c r="BC104" s="560">
        <f t="shared" si="135"/>
        <v>224.55990999999995</v>
      </c>
      <c r="BD104" s="304">
        <f t="shared" si="136"/>
        <v>3.043534200169971E-2</v>
      </c>
      <c r="BE104" s="418">
        <v>7348</v>
      </c>
      <c r="BF104" s="203">
        <f t="shared" si="119"/>
        <v>-30</v>
      </c>
      <c r="BG104" s="362">
        <f t="shared" si="120"/>
        <v>-4.0661425860666848E-3</v>
      </c>
      <c r="BH104" s="418">
        <v>2267</v>
      </c>
      <c r="BI104" s="418"/>
      <c r="BJ104" s="418"/>
      <c r="BK104" s="418">
        <v>12</v>
      </c>
      <c r="BL104" s="309">
        <f t="shared" si="103"/>
        <v>9627</v>
      </c>
      <c r="BM104" s="309">
        <f t="shared" si="121"/>
        <v>1684.2984800000004</v>
      </c>
      <c r="BN104" s="309">
        <v>7884</v>
      </c>
      <c r="BO104" s="309">
        <v>7834</v>
      </c>
      <c r="BP104" s="206">
        <f t="shared" si="98"/>
        <v>486</v>
      </c>
      <c r="BQ104" s="362">
        <f t="shared" si="122"/>
        <v>0.2120561216808762</v>
      </c>
      <c r="BR104" s="205">
        <f t="shared" si="99"/>
        <v>6.6140446379967341E-2</v>
      </c>
      <c r="BS104" s="309">
        <v>3069</v>
      </c>
      <c r="BV104" s="66">
        <v>12</v>
      </c>
      <c r="BW104" s="207">
        <f t="shared" si="123"/>
        <v>10965</v>
      </c>
      <c r="BX104" s="206">
        <v>7834</v>
      </c>
      <c r="BY104" s="206"/>
      <c r="BZ104" s="206">
        <v>7543</v>
      </c>
      <c r="CA104" s="206">
        <f t="shared" si="100"/>
        <v>195</v>
      </c>
      <c r="CB104" s="199">
        <f t="shared" si="137"/>
        <v>2.6537833424060971E-2</v>
      </c>
      <c r="CC104" s="309">
        <v>8725</v>
      </c>
      <c r="CD104" s="309">
        <v>8790</v>
      </c>
      <c r="CE104" s="309"/>
      <c r="CF104" s="206">
        <v>8392</v>
      </c>
      <c r="CG104" s="206">
        <f t="shared" si="124"/>
        <v>849</v>
      </c>
      <c r="CH104" s="304">
        <f t="shared" si="125"/>
        <v>0.11255468646427151</v>
      </c>
      <c r="CI104" s="309">
        <v>9519</v>
      </c>
      <c r="CJ104" s="309"/>
      <c r="CK104" s="309">
        <f t="shared" si="126"/>
        <v>9519</v>
      </c>
      <c r="CL104" s="206">
        <f t="shared" si="95"/>
        <v>1127</v>
      </c>
      <c r="CM104" s="608">
        <f t="shared" si="127"/>
        <v>0.13429456625357483</v>
      </c>
      <c r="CN104" s="203">
        <v>10501</v>
      </c>
      <c r="CO104" s="206">
        <f t="shared" si="96"/>
        <v>982</v>
      </c>
      <c r="CP104" s="304">
        <f t="shared" si="97"/>
        <v>0.10316209685891375</v>
      </c>
    </row>
    <row r="105" spans="1:94" s="148" customFormat="1" ht="18" customHeight="1" x14ac:dyDescent="0.25">
      <c r="A105" s="312" t="s">
        <v>217</v>
      </c>
      <c r="B105" s="416">
        <v>0</v>
      </c>
      <c r="C105" s="416">
        <v>0</v>
      </c>
      <c r="D105" s="416">
        <f t="shared" si="77"/>
        <v>0</v>
      </c>
      <c r="E105" s="567" t="s">
        <v>132</v>
      </c>
      <c r="F105" s="203">
        <v>0</v>
      </c>
      <c r="G105" s="203">
        <f t="shared" si="78"/>
        <v>0</v>
      </c>
      <c r="H105" s="567" t="s">
        <v>132</v>
      </c>
      <c r="I105" s="203">
        <v>93</v>
      </c>
      <c r="J105" s="203">
        <f t="shared" si="79"/>
        <v>93</v>
      </c>
      <c r="K105" s="567" t="s">
        <v>132</v>
      </c>
      <c r="L105" s="203">
        <v>3275</v>
      </c>
      <c r="M105" s="203">
        <v>3182</v>
      </c>
      <c r="N105" s="397">
        <v>34.215053763440864</v>
      </c>
      <c r="O105" s="203">
        <v>3621</v>
      </c>
      <c r="P105" s="203">
        <f t="shared" si="128"/>
        <v>346</v>
      </c>
      <c r="Q105" s="397">
        <f t="shared" si="107"/>
        <v>0.10564885496183206</v>
      </c>
      <c r="R105" s="203">
        <v>5580</v>
      </c>
      <c r="S105" s="203">
        <f t="shared" si="108"/>
        <v>1959</v>
      </c>
      <c r="T105" s="397">
        <f t="shared" si="109"/>
        <v>0.54101077050538526</v>
      </c>
      <c r="U105" s="203">
        <v>5032</v>
      </c>
      <c r="V105" s="203">
        <f t="shared" si="129"/>
        <v>-548</v>
      </c>
      <c r="W105" s="397">
        <f t="shared" si="130"/>
        <v>-9.8207885304659501E-2</v>
      </c>
      <c r="X105" s="201">
        <v>7076</v>
      </c>
      <c r="Y105" s="203">
        <f t="shared" si="110"/>
        <v>2044</v>
      </c>
      <c r="Z105" s="484">
        <f t="shared" si="111"/>
        <v>0.40620031796502387</v>
      </c>
      <c r="AA105" s="203">
        <v>7751</v>
      </c>
      <c r="AB105" s="564">
        <f t="shared" si="112"/>
        <v>675</v>
      </c>
      <c r="AC105" s="485">
        <f t="shared" si="113"/>
        <v>9.5392877331825887E-2</v>
      </c>
      <c r="AD105" s="418">
        <v>7005</v>
      </c>
      <c r="AE105" s="418">
        <v>8</v>
      </c>
      <c r="AF105" s="203">
        <v>7003</v>
      </c>
      <c r="AG105" s="203">
        <f t="shared" si="114"/>
        <v>-748</v>
      </c>
      <c r="AH105" s="397">
        <f t="shared" si="115"/>
        <v>-9.6503676944910341E-2</v>
      </c>
      <c r="AI105" s="418">
        <v>7005</v>
      </c>
      <c r="AJ105" s="148">
        <v>7013</v>
      </c>
      <c r="AK105" s="148">
        <v>6719</v>
      </c>
      <c r="AL105" s="354"/>
      <c r="AM105" s="203">
        <f t="shared" si="116"/>
        <v>6719</v>
      </c>
      <c r="AN105" s="148">
        <v>7451</v>
      </c>
      <c r="AO105" s="148">
        <v>7460</v>
      </c>
      <c r="AP105" s="418">
        <v>76</v>
      </c>
      <c r="AQ105" s="418">
        <v>15</v>
      </c>
      <c r="AR105" s="418">
        <f t="shared" si="131"/>
        <v>91</v>
      </c>
      <c r="AS105" s="418">
        <f t="shared" si="132"/>
        <v>6801.4298999999992</v>
      </c>
      <c r="AT105" s="418">
        <f t="shared" si="133"/>
        <v>-201.57010000000082</v>
      </c>
      <c r="AU105" s="485">
        <f t="shared" si="134"/>
        <v>-2.87833928316437E-2</v>
      </c>
      <c r="AV105" s="418">
        <f t="shared" si="117"/>
        <v>-201.57010000000082</v>
      </c>
      <c r="AW105" s="485">
        <f t="shared" si="118"/>
        <v>-2.87833928316437E-2</v>
      </c>
      <c r="AX105" s="418">
        <v>6928</v>
      </c>
      <c r="AY105" s="203">
        <f t="shared" si="101"/>
        <v>-75</v>
      </c>
      <c r="AZ105" s="362">
        <f t="shared" si="102"/>
        <v>-1.0709695844638012E-2</v>
      </c>
      <c r="BA105" s="560">
        <f>6919.58223+8.2431</f>
        <v>6927.8253299999997</v>
      </c>
      <c r="BB105" s="560">
        <f>6706.17207+4.25783</f>
        <v>6710.4298999999992</v>
      </c>
      <c r="BC105" s="560">
        <f t="shared" si="135"/>
        <v>217.39543000000049</v>
      </c>
      <c r="BD105" s="304">
        <f t="shared" si="136"/>
        <v>3.1380039138486839E-2</v>
      </c>
      <c r="BE105" s="418">
        <v>7148</v>
      </c>
      <c r="BF105" s="203">
        <f t="shared" si="119"/>
        <v>220</v>
      </c>
      <c r="BG105" s="362">
        <f t="shared" si="120"/>
        <v>3.1755196304849888E-2</v>
      </c>
      <c r="BH105" s="418">
        <v>378</v>
      </c>
      <c r="BI105" s="418"/>
      <c r="BJ105" s="418"/>
      <c r="BK105" s="418">
        <v>79</v>
      </c>
      <c r="BL105" s="309">
        <f t="shared" si="103"/>
        <v>7605</v>
      </c>
      <c r="BM105" s="309">
        <f t="shared" si="121"/>
        <v>803.57010000000082</v>
      </c>
      <c r="BN105" s="309">
        <v>8852</v>
      </c>
      <c r="BO105" s="309">
        <v>7962</v>
      </c>
      <c r="BP105" s="206">
        <f t="shared" si="98"/>
        <v>814</v>
      </c>
      <c r="BQ105" s="362">
        <f t="shared" si="122"/>
        <v>0.11814722959947009</v>
      </c>
      <c r="BR105" s="205">
        <f t="shared" si="99"/>
        <v>0.11387800783435927</v>
      </c>
      <c r="BS105" s="309">
        <v>469</v>
      </c>
      <c r="BV105" s="66">
        <v>60</v>
      </c>
      <c r="BW105" s="207">
        <f t="shared" si="123"/>
        <v>9381</v>
      </c>
      <c r="BX105" s="206">
        <v>7962</v>
      </c>
      <c r="BY105" s="206"/>
      <c r="BZ105" s="206">
        <v>7528</v>
      </c>
      <c r="CA105" s="206">
        <f t="shared" si="100"/>
        <v>380</v>
      </c>
      <c r="CB105" s="199">
        <f t="shared" si="137"/>
        <v>5.3161723559037491E-2</v>
      </c>
      <c r="CC105" s="309">
        <v>8457</v>
      </c>
      <c r="CD105" s="309">
        <v>8232</v>
      </c>
      <c r="CE105" s="309"/>
      <c r="CF105" s="206">
        <v>7183</v>
      </c>
      <c r="CG105" s="206">
        <f t="shared" si="124"/>
        <v>-345</v>
      </c>
      <c r="CH105" s="304">
        <f t="shared" si="125"/>
        <v>-4.5828905419766204E-2</v>
      </c>
      <c r="CI105" s="309">
        <v>8703</v>
      </c>
      <c r="CJ105" s="309"/>
      <c r="CK105" s="309">
        <f t="shared" si="126"/>
        <v>8703</v>
      </c>
      <c r="CL105" s="206">
        <f t="shared" si="95"/>
        <v>1520</v>
      </c>
      <c r="CM105" s="608">
        <f t="shared" si="127"/>
        <v>0.21161074759849646</v>
      </c>
      <c r="CN105" s="203">
        <v>8644</v>
      </c>
      <c r="CO105" s="206">
        <f t="shared" si="96"/>
        <v>-59</v>
      </c>
      <c r="CP105" s="304">
        <f t="shared" si="97"/>
        <v>-6.7792715155693441E-3</v>
      </c>
    </row>
    <row r="106" spans="1:94" ht="18" customHeight="1" x14ac:dyDescent="0.25">
      <c r="A106" s="312" t="s">
        <v>218</v>
      </c>
      <c r="B106" s="416">
        <v>0</v>
      </c>
      <c r="C106" s="416">
        <v>0</v>
      </c>
      <c r="D106" s="416"/>
      <c r="E106" s="310"/>
      <c r="F106" s="204">
        <v>0</v>
      </c>
      <c r="G106" s="204"/>
      <c r="H106" s="310"/>
      <c r="I106" s="204">
        <v>0</v>
      </c>
      <c r="J106" s="204"/>
      <c r="K106" s="310"/>
      <c r="L106" s="204">
        <v>0</v>
      </c>
      <c r="M106" s="204"/>
      <c r="N106" s="304"/>
      <c r="O106" s="204">
        <v>0</v>
      </c>
      <c r="P106" s="204"/>
      <c r="Q106" s="304"/>
      <c r="R106" s="204">
        <v>0</v>
      </c>
      <c r="S106" s="204"/>
      <c r="T106" s="304"/>
      <c r="U106" s="204">
        <v>0</v>
      </c>
      <c r="V106" s="204">
        <f t="shared" si="129"/>
        <v>0</v>
      </c>
      <c r="W106" s="394" t="s">
        <v>132</v>
      </c>
      <c r="X106" s="201">
        <v>0</v>
      </c>
      <c r="Y106" s="204">
        <f t="shared" si="110"/>
        <v>0</v>
      </c>
      <c r="AA106" s="203">
        <v>0</v>
      </c>
      <c r="AB106" s="374">
        <f t="shared" si="112"/>
        <v>0</v>
      </c>
      <c r="AC106" s="395" t="s">
        <v>132</v>
      </c>
      <c r="AD106" s="200">
        <v>25</v>
      </c>
      <c r="AE106" s="200"/>
      <c r="AF106" s="204">
        <v>0</v>
      </c>
      <c r="AG106" s="204">
        <f>AF106-AA106</f>
        <v>0</v>
      </c>
      <c r="AH106" s="304" t="e">
        <f t="shared" si="115"/>
        <v>#DIV/0!</v>
      </c>
      <c r="AI106" s="200">
        <f>25-25</f>
        <v>0</v>
      </c>
      <c r="AJ106" s="66">
        <f>25-25</f>
        <v>0</v>
      </c>
      <c r="AL106" s="354">
        <v>25</v>
      </c>
      <c r="AM106" s="204">
        <f t="shared" si="116"/>
        <v>25</v>
      </c>
      <c r="AN106" s="66">
        <v>0</v>
      </c>
      <c r="AO106" s="66">
        <v>0</v>
      </c>
      <c r="AP106" s="200">
        <v>0</v>
      </c>
      <c r="AQ106" s="200">
        <v>0</v>
      </c>
      <c r="AR106" s="200">
        <f t="shared" si="131"/>
        <v>0</v>
      </c>
      <c r="AS106" s="418">
        <f t="shared" si="132"/>
        <v>0</v>
      </c>
      <c r="AT106" s="200">
        <f t="shared" si="133"/>
        <v>0</v>
      </c>
      <c r="AU106" s="205" t="e">
        <f t="shared" si="134"/>
        <v>#DIV/0!</v>
      </c>
      <c r="AV106" s="200">
        <f>+AS106-AF106</f>
        <v>0</v>
      </c>
      <c r="AW106" s="205" t="e">
        <f>+AV106/AF106</f>
        <v>#DIV/0!</v>
      </c>
      <c r="AX106" s="200">
        <v>0</v>
      </c>
      <c r="AY106" s="204">
        <f>AX106-AF106</f>
        <v>0</v>
      </c>
      <c r="AZ106" s="199" t="e">
        <f>AY106/AF106</f>
        <v>#DIV/0!</v>
      </c>
      <c r="BA106" s="560">
        <v>130</v>
      </c>
      <c r="BB106" s="560">
        <v>0</v>
      </c>
      <c r="BC106" s="560">
        <f t="shared" si="135"/>
        <v>130</v>
      </c>
      <c r="BD106" s="304">
        <f t="shared" si="136"/>
        <v>1</v>
      </c>
      <c r="BE106" s="200">
        <v>0</v>
      </c>
      <c r="BF106" s="204">
        <v>0</v>
      </c>
      <c r="BG106" s="199" t="e">
        <f t="shared" si="120"/>
        <v>#DIV/0!</v>
      </c>
      <c r="BH106" s="200"/>
      <c r="BI106" s="200"/>
      <c r="BJ106" s="200"/>
      <c r="BK106" s="200"/>
      <c r="BL106" s="206">
        <f t="shared" si="103"/>
        <v>0</v>
      </c>
      <c r="BM106" s="206">
        <f t="shared" si="121"/>
        <v>0</v>
      </c>
      <c r="BN106" s="206"/>
      <c r="BO106" s="206"/>
      <c r="BP106" s="206">
        <f t="shared" si="98"/>
        <v>0</v>
      </c>
      <c r="BQ106" s="199" t="e">
        <f t="shared" si="122"/>
        <v>#DIV/0!</v>
      </c>
      <c r="BR106" s="205" t="e">
        <f t="shared" si="99"/>
        <v>#DIV/0!</v>
      </c>
      <c r="BW106" s="207">
        <f t="shared" si="123"/>
        <v>0</v>
      </c>
      <c r="BX106" s="206"/>
      <c r="BY106" s="206"/>
      <c r="BZ106" s="206">
        <f t="shared" si="138"/>
        <v>0</v>
      </c>
      <c r="CA106" s="206">
        <f t="shared" si="100"/>
        <v>0</v>
      </c>
      <c r="CB106" s="199" t="e">
        <f t="shared" si="137"/>
        <v>#DIV/0!</v>
      </c>
      <c r="CC106" s="206"/>
      <c r="CD106" s="206"/>
      <c r="CE106" s="206"/>
      <c r="CF106" s="206">
        <f t="shared" si="141"/>
        <v>0</v>
      </c>
      <c r="CG106" s="206">
        <f t="shared" si="124"/>
        <v>0</v>
      </c>
      <c r="CH106" s="304" t="e">
        <f t="shared" si="125"/>
        <v>#DIV/0!</v>
      </c>
      <c r="CI106" s="206">
        <v>0</v>
      </c>
      <c r="CJ106" s="206"/>
      <c r="CK106" s="206">
        <f t="shared" si="126"/>
        <v>0</v>
      </c>
      <c r="CL106" s="206">
        <f t="shared" si="95"/>
        <v>0</v>
      </c>
      <c r="CM106" s="608" t="e">
        <f t="shared" si="127"/>
        <v>#DIV/0!</v>
      </c>
      <c r="CN106" s="204">
        <v>231</v>
      </c>
      <c r="CO106" s="206">
        <f t="shared" si="96"/>
        <v>231</v>
      </c>
      <c r="CP106" s="304" t="e">
        <f t="shared" si="97"/>
        <v>#DIV/0!</v>
      </c>
    </row>
    <row r="107" spans="1:94" ht="18" customHeight="1" x14ac:dyDescent="0.25">
      <c r="A107" s="312" t="s">
        <v>219</v>
      </c>
      <c r="B107" s="302">
        <v>0</v>
      </c>
      <c r="C107" s="302">
        <v>0</v>
      </c>
      <c r="D107" s="416">
        <f t="shared" si="77"/>
        <v>0</v>
      </c>
      <c r="E107" s="310" t="s">
        <v>132</v>
      </c>
      <c r="F107" s="204">
        <v>0</v>
      </c>
      <c r="G107" s="204">
        <f t="shared" si="78"/>
        <v>0</v>
      </c>
      <c r="H107" s="310" t="s">
        <v>132</v>
      </c>
      <c r="I107" s="204">
        <v>161</v>
      </c>
      <c r="J107" s="204">
        <f t="shared" si="79"/>
        <v>161</v>
      </c>
      <c r="K107" s="310" t="s">
        <v>132</v>
      </c>
      <c r="L107" s="204">
        <v>266</v>
      </c>
      <c r="M107" s="204">
        <v>105</v>
      </c>
      <c r="N107" s="304">
        <v>0.65217391304347827</v>
      </c>
      <c r="O107" s="204">
        <v>248</v>
      </c>
      <c r="P107" s="204">
        <f t="shared" si="128"/>
        <v>-18</v>
      </c>
      <c r="Q107" s="304">
        <f t="shared" si="107"/>
        <v>-6.7669172932330823E-2</v>
      </c>
      <c r="R107" s="204">
        <v>275</v>
      </c>
      <c r="S107" s="204">
        <f>R107-O107</f>
        <v>27</v>
      </c>
      <c r="T107" s="304">
        <f>S107/O107</f>
        <v>0.10887096774193548</v>
      </c>
      <c r="U107" s="204">
        <v>285</v>
      </c>
      <c r="V107" s="204">
        <f t="shared" si="129"/>
        <v>10</v>
      </c>
      <c r="W107" s="304">
        <f t="shared" si="130"/>
        <v>3.6363636363636362E-2</v>
      </c>
      <c r="X107" s="201">
        <v>398</v>
      </c>
      <c r="Y107" s="204">
        <f t="shared" si="110"/>
        <v>113</v>
      </c>
      <c r="Z107" s="484">
        <f>Y107/U107</f>
        <v>0.39649122807017545</v>
      </c>
      <c r="AA107" s="203">
        <v>404</v>
      </c>
      <c r="AB107" s="374">
        <f t="shared" si="112"/>
        <v>6</v>
      </c>
      <c r="AC107" s="205">
        <f>AB107/X107</f>
        <v>1.507537688442211E-2</v>
      </c>
      <c r="AD107" s="200">
        <v>298</v>
      </c>
      <c r="AE107" s="200"/>
      <c r="AF107" s="204">
        <v>298</v>
      </c>
      <c r="AG107" s="204">
        <f>AF107-AA107</f>
        <v>-106</v>
      </c>
      <c r="AH107" s="304">
        <f t="shared" si="115"/>
        <v>-0.26237623762376239</v>
      </c>
      <c r="AI107" s="200">
        <v>298</v>
      </c>
      <c r="AJ107" s="66">
        <v>298</v>
      </c>
      <c r="AK107" s="66">
        <v>305</v>
      </c>
      <c r="AL107" s="354"/>
      <c r="AM107" s="204">
        <f t="shared" si="116"/>
        <v>305</v>
      </c>
      <c r="AN107" s="66">
        <v>199</v>
      </c>
      <c r="AO107" s="66">
        <v>199</v>
      </c>
      <c r="AP107" s="200">
        <v>0</v>
      </c>
      <c r="AQ107" s="200">
        <v>0</v>
      </c>
      <c r="AR107" s="200">
        <f t="shared" si="131"/>
        <v>0</v>
      </c>
      <c r="AS107" s="418">
        <f t="shared" si="132"/>
        <v>173.09004999999999</v>
      </c>
      <c r="AT107" s="200">
        <f t="shared" si="133"/>
        <v>-124.90995000000001</v>
      </c>
      <c r="AU107" s="205">
        <f t="shared" si="134"/>
        <v>-0.41916090604026851</v>
      </c>
      <c r="AV107" s="200">
        <f>+AS107-AF107</f>
        <v>-124.90995000000001</v>
      </c>
      <c r="AW107" s="205">
        <f>+AV107/AF107</f>
        <v>-0.41916090604026851</v>
      </c>
      <c r="AX107" s="200">
        <v>195</v>
      </c>
      <c r="AY107" s="204">
        <f>AX107-AF107</f>
        <v>-103</v>
      </c>
      <c r="AZ107" s="199">
        <f>AY107/AF107</f>
        <v>-0.34563758389261745</v>
      </c>
      <c r="BA107" s="560">
        <v>195.47585000000001</v>
      </c>
      <c r="BB107" s="560">
        <v>173.09004999999999</v>
      </c>
      <c r="BC107" s="560">
        <f t="shared" si="135"/>
        <v>22.385800000000017</v>
      </c>
      <c r="BD107" s="304">
        <f t="shared" si="136"/>
        <v>0.11451951737260647</v>
      </c>
      <c r="BE107" s="200">
        <v>187</v>
      </c>
      <c r="BF107" s="204">
        <f t="shared" ref="BF107:BF117" si="142">BE107-AX107</f>
        <v>-8</v>
      </c>
      <c r="BG107" s="199">
        <f t="shared" si="120"/>
        <v>-4.1025641025641026E-2</v>
      </c>
      <c r="BH107" s="200"/>
      <c r="BI107" s="200"/>
      <c r="BJ107" s="200"/>
      <c r="BK107" s="200"/>
      <c r="BL107" s="206">
        <f t="shared" si="103"/>
        <v>187</v>
      </c>
      <c r="BM107" s="206">
        <f t="shared" si="121"/>
        <v>13.909950000000009</v>
      </c>
      <c r="BN107" s="206">
        <v>199</v>
      </c>
      <c r="BO107" s="206">
        <v>449</v>
      </c>
      <c r="BP107" s="206">
        <f t="shared" si="98"/>
        <v>262</v>
      </c>
      <c r="BQ107" s="199">
        <f t="shared" si="122"/>
        <v>8.0362504950457922E-2</v>
      </c>
      <c r="BR107" s="205">
        <f t="shared" si="99"/>
        <v>1.4010695187165776</v>
      </c>
      <c r="BS107" s="206">
        <v>38</v>
      </c>
      <c r="BV107" s="66">
        <v>12</v>
      </c>
      <c r="BW107" s="207">
        <f t="shared" si="123"/>
        <v>249</v>
      </c>
      <c r="BX107" s="206">
        <v>449</v>
      </c>
      <c r="BY107" s="206"/>
      <c r="BZ107" s="206">
        <v>436</v>
      </c>
      <c r="CA107" s="206">
        <f t="shared" si="100"/>
        <v>249</v>
      </c>
      <c r="CB107" s="199">
        <f t="shared" si="137"/>
        <v>1.3315508021390374</v>
      </c>
      <c r="CC107" s="206">
        <v>516</v>
      </c>
      <c r="CD107" s="206">
        <v>516</v>
      </c>
      <c r="CE107" s="206"/>
      <c r="CF107" s="206">
        <v>434</v>
      </c>
      <c r="CG107" s="206">
        <f t="shared" si="124"/>
        <v>-2</v>
      </c>
      <c r="CH107" s="304">
        <f t="shared" si="125"/>
        <v>-4.5871559633027525E-3</v>
      </c>
      <c r="CI107" s="206">
        <v>526</v>
      </c>
      <c r="CJ107" s="206"/>
      <c r="CK107" s="206">
        <f t="shared" si="126"/>
        <v>526</v>
      </c>
      <c r="CL107" s="206">
        <f t="shared" si="95"/>
        <v>92</v>
      </c>
      <c r="CM107" s="608">
        <f t="shared" si="127"/>
        <v>0.2119815668202765</v>
      </c>
      <c r="CN107" s="204">
        <v>539</v>
      </c>
      <c r="CO107" s="206">
        <f t="shared" si="96"/>
        <v>13</v>
      </c>
      <c r="CP107" s="304">
        <f t="shared" si="97"/>
        <v>2.4714828897338403E-2</v>
      </c>
    </row>
    <row r="108" spans="1:94" ht="18" customHeight="1" x14ac:dyDescent="0.25">
      <c r="A108" s="312" t="s">
        <v>220</v>
      </c>
      <c r="B108" s="310" t="s">
        <v>132</v>
      </c>
      <c r="C108" s="310" t="s">
        <v>132</v>
      </c>
      <c r="D108" s="310" t="s">
        <v>132</v>
      </c>
      <c r="E108" s="310" t="s">
        <v>132</v>
      </c>
      <c r="F108" s="310" t="s">
        <v>132</v>
      </c>
      <c r="G108" s="310" t="s">
        <v>132</v>
      </c>
      <c r="H108" s="310" t="s">
        <v>132</v>
      </c>
      <c r="I108" s="310" t="s">
        <v>132</v>
      </c>
      <c r="J108" s="310" t="s">
        <v>132</v>
      </c>
      <c r="K108" s="310" t="s">
        <v>132</v>
      </c>
      <c r="L108" s="204">
        <v>754</v>
      </c>
      <c r="M108" s="204">
        <v>754</v>
      </c>
      <c r="N108" s="394" t="s">
        <v>132</v>
      </c>
      <c r="O108" s="204">
        <v>730</v>
      </c>
      <c r="P108" s="315">
        <f t="shared" si="128"/>
        <v>-24</v>
      </c>
      <c r="Q108" s="304">
        <f t="shared" si="107"/>
        <v>-3.1830238726790451E-2</v>
      </c>
      <c r="R108" s="204">
        <v>516</v>
      </c>
      <c r="S108" s="204">
        <f>R108-O108</f>
        <v>-214</v>
      </c>
      <c r="T108" s="304">
        <f>S108/O108</f>
        <v>-0.29315068493150687</v>
      </c>
      <c r="U108" s="204">
        <v>811</v>
      </c>
      <c r="V108" s="204">
        <f t="shared" si="129"/>
        <v>295</v>
      </c>
      <c r="W108" s="304">
        <f t="shared" si="130"/>
        <v>0.57170542635658916</v>
      </c>
      <c r="X108" s="201">
        <v>1475</v>
      </c>
      <c r="Y108" s="204">
        <f t="shared" si="110"/>
        <v>664</v>
      </c>
      <c r="Z108" s="484">
        <f>Y108/U108</f>
        <v>0.81874229346485816</v>
      </c>
      <c r="AA108" s="203">
        <v>1323</v>
      </c>
      <c r="AB108" s="374">
        <f t="shared" si="112"/>
        <v>-152</v>
      </c>
      <c r="AC108" s="205">
        <f>AB108/X108</f>
        <v>-0.10305084745762712</v>
      </c>
      <c r="AD108" s="200">
        <v>1249</v>
      </c>
      <c r="AE108" s="200"/>
      <c r="AF108" s="204">
        <v>1293</v>
      </c>
      <c r="AG108" s="204">
        <f t="shared" si="114"/>
        <v>-30</v>
      </c>
      <c r="AH108" s="304">
        <f t="shared" si="115"/>
        <v>-2.2675736961451247E-2</v>
      </c>
      <c r="AI108" s="200">
        <v>1249</v>
      </c>
      <c r="AJ108" s="66">
        <v>1249</v>
      </c>
      <c r="AK108" s="66">
        <v>1273</v>
      </c>
      <c r="AL108" s="354"/>
      <c r="AM108" s="204">
        <f t="shared" si="116"/>
        <v>1273</v>
      </c>
      <c r="AN108" s="66">
        <v>1624</v>
      </c>
      <c r="AO108" s="66">
        <v>1624</v>
      </c>
      <c r="AP108" s="200">
        <v>0</v>
      </c>
      <c r="AQ108" s="200">
        <v>0</v>
      </c>
      <c r="AR108" s="200">
        <f t="shared" si="131"/>
        <v>0</v>
      </c>
      <c r="AS108" s="418">
        <f t="shared" si="132"/>
        <v>1190.7141999999999</v>
      </c>
      <c r="AT108" s="200">
        <f t="shared" si="133"/>
        <v>-102.28580000000011</v>
      </c>
      <c r="AU108" s="205">
        <f t="shared" si="134"/>
        <v>-7.9107347254447111E-2</v>
      </c>
      <c r="AV108" s="200">
        <f t="shared" si="117"/>
        <v>-102.28580000000011</v>
      </c>
      <c r="AW108" s="205">
        <f t="shared" si="118"/>
        <v>-7.9107347254447111E-2</v>
      </c>
      <c r="AX108" s="200">
        <v>1601</v>
      </c>
      <c r="AY108" s="204">
        <f t="shared" si="101"/>
        <v>308</v>
      </c>
      <c r="AZ108" s="199">
        <f t="shared" si="102"/>
        <v>0.23820572312451663</v>
      </c>
      <c r="BA108" s="560">
        <v>1600.7615699999999</v>
      </c>
      <c r="BB108" s="560">
        <v>1190.7141999999999</v>
      </c>
      <c r="BC108" s="560">
        <f t="shared" si="135"/>
        <v>410.04737</v>
      </c>
      <c r="BD108" s="304">
        <f t="shared" si="136"/>
        <v>0.25615767999727779</v>
      </c>
      <c r="BE108" s="200">
        <v>1400</v>
      </c>
      <c r="BF108" s="204">
        <f t="shared" si="142"/>
        <v>-201</v>
      </c>
      <c r="BG108" s="199">
        <f t="shared" si="120"/>
        <v>-0.12554653341661462</v>
      </c>
      <c r="BH108" s="200"/>
      <c r="BI108" s="200"/>
      <c r="BJ108" s="200"/>
      <c r="BK108" s="200"/>
      <c r="BL108" s="206">
        <f t="shared" si="103"/>
        <v>1400</v>
      </c>
      <c r="BM108" s="206">
        <f t="shared" si="121"/>
        <v>209.28580000000011</v>
      </c>
      <c r="BN108" s="206">
        <v>0</v>
      </c>
      <c r="BO108" s="206"/>
      <c r="BP108" s="206">
        <f t="shared" si="98"/>
        <v>-1400</v>
      </c>
      <c r="BQ108" s="199">
        <f t="shared" si="122"/>
        <v>0.17576493166874144</v>
      </c>
      <c r="BR108" s="205">
        <f t="shared" si="99"/>
        <v>-1</v>
      </c>
      <c r="BW108" s="207">
        <f t="shared" si="123"/>
        <v>0</v>
      </c>
      <c r="BX108" s="206">
        <v>0</v>
      </c>
      <c r="BY108" s="206"/>
      <c r="BZ108" s="206">
        <f t="shared" si="138"/>
        <v>0</v>
      </c>
      <c r="CA108" s="206">
        <f t="shared" si="100"/>
        <v>-1400</v>
      </c>
      <c r="CB108" s="199">
        <f t="shared" si="137"/>
        <v>-1</v>
      </c>
      <c r="CC108" s="206">
        <v>0</v>
      </c>
      <c r="CD108" s="206"/>
      <c r="CE108" s="206"/>
      <c r="CF108" s="206">
        <f t="shared" si="141"/>
        <v>0</v>
      </c>
      <c r="CG108" s="206">
        <f t="shared" si="124"/>
        <v>0</v>
      </c>
      <c r="CH108" s="304" t="e">
        <f t="shared" si="125"/>
        <v>#DIV/0!</v>
      </c>
      <c r="CI108" s="206">
        <v>0</v>
      </c>
      <c r="CJ108" s="206"/>
      <c r="CK108" s="206">
        <f t="shared" si="126"/>
        <v>0</v>
      </c>
      <c r="CL108" s="206">
        <f t="shared" si="95"/>
        <v>0</v>
      </c>
      <c r="CM108" s="608" t="e">
        <f t="shared" si="127"/>
        <v>#DIV/0!</v>
      </c>
      <c r="CN108" s="204">
        <v>0</v>
      </c>
      <c r="CO108" s="206">
        <f t="shared" si="96"/>
        <v>0</v>
      </c>
      <c r="CP108" s="304" t="e">
        <f t="shared" si="97"/>
        <v>#DIV/0!</v>
      </c>
    </row>
    <row r="109" spans="1:94" ht="18" customHeight="1" x14ac:dyDescent="0.25">
      <c r="A109" s="312" t="s">
        <v>221</v>
      </c>
      <c r="B109" s="310" t="s">
        <v>132</v>
      </c>
      <c r="C109" s="310" t="s">
        <v>132</v>
      </c>
      <c r="D109" s="310" t="s">
        <v>132</v>
      </c>
      <c r="E109" s="310" t="s">
        <v>132</v>
      </c>
      <c r="F109" s="310" t="s">
        <v>132</v>
      </c>
      <c r="G109" s="310" t="s">
        <v>132</v>
      </c>
      <c r="H109" s="310" t="s">
        <v>132</v>
      </c>
      <c r="I109" s="310" t="s">
        <v>132</v>
      </c>
      <c r="J109" s="310" t="s">
        <v>132</v>
      </c>
      <c r="K109" s="310" t="s">
        <v>132</v>
      </c>
      <c r="L109" s="204">
        <v>734</v>
      </c>
      <c r="M109" s="204">
        <v>734</v>
      </c>
      <c r="N109" s="394" t="s">
        <v>132</v>
      </c>
      <c r="O109" s="310">
        <v>0</v>
      </c>
      <c r="P109" s="315">
        <f t="shared" si="128"/>
        <v>-734</v>
      </c>
      <c r="Q109" s="304">
        <f t="shared" si="107"/>
        <v>-1</v>
      </c>
      <c r="R109" s="204">
        <v>0</v>
      </c>
      <c r="S109" s="204">
        <f>R109-O109</f>
        <v>0</v>
      </c>
      <c r="T109" s="394" t="s">
        <v>132</v>
      </c>
      <c r="U109" s="204">
        <v>0</v>
      </c>
      <c r="V109" s="204">
        <f t="shared" si="129"/>
        <v>0</v>
      </c>
      <c r="W109" s="394" t="s">
        <v>132</v>
      </c>
      <c r="Y109" s="204">
        <f t="shared" si="110"/>
        <v>0</v>
      </c>
      <c r="AB109" s="374">
        <f t="shared" si="112"/>
        <v>0</v>
      </c>
      <c r="AD109" s="200">
        <v>0</v>
      </c>
      <c r="AE109" s="200"/>
      <c r="AG109" s="204">
        <f t="shared" si="114"/>
        <v>0</v>
      </c>
      <c r="AH109" s="304" t="e">
        <f t="shared" si="115"/>
        <v>#DIV/0!</v>
      </c>
      <c r="AI109" s="200">
        <v>0</v>
      </c>
      <c r="AJ109" s="66">
        <v>0</v>
      </c>
      <c r="AL109" s="354"/>
      <c r="AM109" s="204">
        <f t="shared" si="116"/>
        <v>0</v>
      </c>
      <c r="AP109" s="200"/>
      <c r="AQ109" s="200"/>
      <c r="AR109" s="200">
        <f t="shared" si="131"/>
        <v>0</v>
      </c>
      <c r="AS109" s="418">
        <f t="shared" si="132"/>
        <v>0</v>
      </c>
      <c r="AT109" s="200">
        <f t="shared" si="133"/>
        <v>0</v>
      </c>
      <c r="AU109" s="205" t="e">
        <f t="shared" si="134"/>
        <v>#DIV/0!</v>
      </c>
      <c r="AV109" s="200">
        <f t="shared" si="117"/>
        <v>0</v>
      </c>
      <c r="AW109" s="205" t="e">
        <f t="shared" si="118"/>
        <v>#DIV/0!</v>
      </c>
      <c r="AX109" s="200"/>
      <c r="AY109" s="204">
        <f t="shared" si="101"/>
        <v>0</v>
      </c>
      <c r="AZ109" s="199" t="e">
        <f t="shared" si="102"/>
        <v>#DIV/0!</v>
      </c>
      <c r="BA109" s="199"/>
      <c r="BB109" s="199"/>
      <c r="BC109" s="560">
        <f t="shared" si="135"/>
        <v>0</v>
      </c>
      <c r="BE109" s="200"/>
      <c r="BF109" s="204">
        <f t="shared" si="142"/>
        <v>0</v>
      </c>
      <c r="BG109" s="199" t="e">
        <f t="shared" si="120"/>
        <v>#DIV/0!</v>
      </c>
      <c r="BH109" s="200"/>
      <c r="BI109" s="200"/>
      <c r="BJ109" s="200"/>
      <c r="BK109" s="200"/>
      <c r="BL109" s="206">
        <f t="shared" si="103"/>
        <v>0</v>
      </c>
      <c r="BM109" s="206">
        <f t="shared" si="121"/>
        <v>0</v>
      </c>
      <c r="BN109" s="206"/>
      <c r="BO109" s="206"/>
      <c r="BP109" s="206">
        <f t="shared" si="98"/>
        <v>0</v>
      </c>
      <c r="BQ109" s="199" t="e">
        <f t="shared" si="122"/>
        <v>#DIV/0!</v>
      </c>
      <c r="BR109" s="205" t="e">
        <f t="shared" si="99"/>
        <v>#DIV/0!</v>
      </c>
      <c r="BW109" s="207">
        <f t="shared" si="123"/>
        <v>0</v>
      </c>
      <c r="BX109" s="206"/>
      <c r="BY109" s="206"/>
      <c r="BZ109" s="206">
        <f t="shared" si="138"/>
        <v>0</v>
      </c>
      <c r="CA109" s="206">
        <f t="shared" si="100"/>
        <v>0</v>
      </c>
      <c r="CB109" s="199" t="e">
        <f t="shared" si="137"/>
        <v>#DIV/0!</v>
      </c>
      <c r="CC109" s="206"/>
      <c r="CD109" s="206"/>
      <c r="CE109" s="206"/>
      <c r="CF109" s="206">
        <f t="shared" si="141"/>
        <v>0</v>
      </c>
      <c r="CG109" s="206">
        <f t="shared" si="124"/>
        <v>0</v>
      </c>
      <c r="CH109" s="304" t="e">
        <f t="shared" si="125"/>
        <v>#DIV/0!</v>
      </c>
      <c r="CI109" s="206">
        <v>0</v>
      </c>
      <c r="CJ109" s="206"/>
      <c r="CK109" s="206">
        <f t="shared" si="126"/>
        <v>0</v>
      </c>
      <c r="CL109" s="206">
        <f t="shared" si="95"/>
        <v>0</v>
      </c>
      <c r="CM109" s="608" t="e">
        <f t="shared" si="127"/>
        <v>#DIV/0!</v>
      </c>
      <c r="CN109" s="204">
        <v>0</v>
      </c>
      <c r="CO109" s="206">
        <f t="shared" si="96"/>
        <v>0</v>
      </c>
      <c r="CP109" s="304" t="e">
        <f t="shared" si="97"/>
        <v>#DIV/0!</v>
      </c>
    </row>
    <row r="110" spans="1:94" ht="18" customHeight="1" x14ac:dyDescent="0.25">
      <c r="A110" s="312" t="s">
        <v>222</v>
      </c>
      <c r="B110" s="302" t="s">
        <v>132</v>
      </c>
      <c r="C110" s="302" t="s">
        <v>132</v>
      </c>
      <c r="D110" s="310" t="s">
        <v>132</v>
      </c>
      <c r="E110" s="310" t="s">
        <v>132</v>
      </c>
      <c r="F110" s="310" t="s">
        <v>132</v>
      </c>
      <c r="G110" s="310" t="s">
        <v>132</v>
      </c>
      <c r="H110" s="310" t="s">
        <v>132</v>
      </c>
      <c r="I110" s="310" t="s">
        <v>132</v>
      </c>
      <c r="J110" s="310" t="s">
        <v>132</v>
      </c>
      <c r="K110" s="310" t="s">
        <v>132</v>
      </c>
      <c r="L110" s="204">
        <v>0</v>
      </c>
      <c r="M110" s="204">
        <v>0</v>
      </c>
      <c r="N110" s="394" t="s">
        <v>132</v>
      </c>
      <c r="O110" s="310">
        <v>0</v>
      </c>
      <c r="P110" s="315">
        <f t="shared" si="128"/>
        <v>0</v>
      </c>
      <c r="Q110" s="394" t="s">
        <v>132</v>
      </c>
      <c r="R110" s="204">
        <v>0</v>
      </c>
      <c r="S110" s="204">
        <f t="shared" si="108"/>
        <v>0</v>
      </c>
      <c r="T110" s="394" t="s">
        <v>132</v>
      </c>
      <c r="U110" s="204">
        <v>0</v>
      </c>
      <c r="V110" s="204">
        <f t="shared" si="129"/>
        <v>0</v>
      </c>
      <c r="W110" s="394" t="s">
        <v>132</v>
      </c>
      <c r="X110" s="201">
        <v>0</v>
      </c>
      <c r="Y110" s="204">
        <v>0</v>
      </c>
      <c r="AA110" s="203">
        <v>0</v>
      </c>
      <c r="AB110" s="374">
        <f t="shared" si="112"/>
        <v>0</v>
      </c>
      <c r="AC110" s="205" t="e">
        <f>AB110/X110</f>
        <v>#DIV/0!</v>
      </c>
      <c r="AD110" s="200">
        <v>3065</v>
      </c>
      <c r="AE110" s="200">
        <v>8025</v>
      </c>
      <c r="AF110" s="204">
        <v>0</v>
      </c>
      <c r="AG110" s="204">
        <f t="shared" si="114"/>
        <v>0</v>
      </c>
      <c r="AH110" s="304" t="e">
        <f t="shared" si="115"/>
        <v>#DIV/0!</v>
      </c>
      <c r="AI110" s="200">
        <v>3065</v>
      </c>
      <c r="AJ110" s="66">
        <v>11090</v>
      </c>
      <c r="AK110" s="66">
        <v>3131</v>
      </c>
      <c r="AL110" s="354"/>
      <c r="AM110" s="204">
        <f t="shared" si="116"/>
        <v>3131</v>
      </c>
      <c r="AN110" s="66">
        <v>2643</v>
      </c>
      <c r="AO110" s="66">
        <v>9777</v>
      </c>
      <c r="AP110" s="200">
        <v>0</v>
      </c>
      <c r="AQ110" s="200">
        <v>0</v>
      </c>
      <c r="AR110" s="200">
        <f t="shared" si="131"/>
        <v>0</v>
      </c>
      <c r="AS110" s="418">
        <f t="shared" si="132"/>
        <v>5402.3288599999996</v>
      </c>
      <c r="AT110" s="200">
        <f t="shared" si="133"/>
        <v>5402.3288599999996</v>
      </c>
      <c r="AU110" s="205" t="e">
        <f t="shared" si="134"/>
        <v>#DIV/0!</v>
      </c>
      <c r="AV110" s="200">
        <f t="shared" si="117"/>
        <v>5402.3288599999996</v>
      </c>
      <c r="AW110" s="205" t="e">
        <f t="shared" si="118"/>
        <v>#DIV/0!</v>
      </c>
      <c r="AX110" s="200">
        <v>0</v>
      </c>
      <c r="AY110" s="204">
        <f t="shared" si="101"/>
        <v>0</v>
      </c>
      <c r="AZ110" s="199" t="e">
        <f t="shared" si="102"/>
        <v>#DIV/0!</v>
      </c>
      <c r="BA110" s="560">
        <f>2426.65254+4947.90583</f>
        <v>7374.5583699999997</v>
      </c>
      <c r="BB110" s="560">
        <f>2401.94226+3000.3866</f>
        <v>5402.3288599999996</v>
      </c>
      <c r="BC110" s="560">
        <f t="shared" si="135"/>
        <v>1972.2295100000001</v>
      </c>
      <c r="BD110" s="304">
        <f t="shared" si="136"/>
        <v>0.26743696517788906</v>
      </c>
      <c r="BE110" s="200"/>
      <c r="BF110" s="204">
        <f t="shared" si="142"/>
        <v>0</v>
      </c>
      <c r="BG110" s="199" t="e">
        <f t="shared" si="120"/>
        <v>#DIV/0!</v>
      </c>
      <c r="BH110" s="200"/>
      <c r="BI110" s="200"/>
      <c r="BJ110" s="200"/>
      <c r="BK110" s="200"/>
      <c r="BL110" s="206">
        <f t="shared" si="103"/>
        <v>0</v>
      </c>
      <c r="BM110" s="206">
        <f t="shared" si="121"/>
        <v>-5402.3288599999996</v>
      </c>
      <c r="BN110" s="206"/>
      <c r="BO110" s="206"/>
      <c r="BP110" s="206">
        <f t="shared" si="98"/>
        <v>0</v>
      </c>
      <c r="BQ110" s="199">
        <f t="shared" si="122"/>
        <v>-1</v>
      </c>
      <c r="BR110" s="205" t="e">
        <f t="shared" si="99"/>
        <v>#DIV/0!</v>
      </c>
      <c r="BV110" s="66">
        <v>5</v>
      </c>
      <c r="BW110" s="207">
        <f t="shared" si="123"/>
        <v>5</v>
      </c>
      <c r="BX110" s="206"/>
      <c r="BY110" s="206"/>
      <c r="BZ110" s="206">
        <f t="shared" si="138"/>
        <v>0</v>
      </c>
      <c r="CA110" s="206">
        <f t="shared" si="100"/>
        <v>0</v>
      </c>
      <c r="CB110" s="199" t="e">
        <f t="shared" si="137"/>
        <v>#DIV/0!</v>
      </c>
      <c r="CC110" s="206"/>
      <c r="CD110" s="206"/>
      <c r="CE110" s="206"/>
      <c r="CF110" s="206">
        <f t="shared" si="141"/>
        <v>0</v>
      </c>
      <c r="CG110" s="206">
        <f t="shared" si="124"/>
        <v>0</v>
      </c>
      <c r="CH110" s="304" t="e">
        <f t="shared" si="125"/>
        <v>#DIV/0!</v>
      </c>
      <c r="CI110" s="206">
        <v>0</v>
      </c>
      <c r="CJ110" s="206"/>
      <c r="CK110" s="206">
        <f t="shared" si="126"/>
        <v>0</v>
      </c>
      <c r="CL110" s="206">
        <f t="shared" si="95"/>
        <v>0</v>
      </c>
      <c r="CM110" s="608" t="e">
        <f t="shared" si="127"/>
        <v>#DIV/0!</v>
      </c>
      <c r="CN110" s="204">
        <v>19240</v>
      </c>
      <c r="CO110" s="206">
        <f t="shared" si="96"/>
        <v>19240</v>
      </c>
      <c r="CP110" s="304" t="e">
        <f t="shared" si="97"/>
        <v>#DIV/0!</v>
      </c>
    </row>
    <row r="111" spans="1:94" ht="18" customHeight="1" x14ac:dyDescent="0.25">
      <c r="A111" s="312" t="s">
        <v>509</v>
      </c>
      <c r="B111" s="302" t="s">
        <v>132</v>
      </c>
      <c r="C111" s="302" t="s">
        <v>132</v>
      </c>
      <c r="D111" s="310" t="s">
        <v>132</v>
      </c>
      <c r="E111" s="310" t="s">
        <v>132</v>
      </c>
      <c r="F111" s="310" t="s">
        <v>132</v>
      </c>
      <c r="G111" s="310" t="s">
        <v>132</v>
      </c>
      <c r="H111" s="310" t="s">
        <v>132</v>
      </c>
      <c r="I111" s="310" t="s">
        <v>132</v>
      </c>
      <c r="J111" s="310" t="s">
        <v>132</v>
      </c>
      <c r="K111" s="310" t="s">
        <v>132</v>
      </c>
      <c r="L111" s="204">
        <v>0</v>
      </c>
      <c r="M111" s="204">
        <v>0</v>
      </c>
      <c r="N111" s="394" t="s">
        <v>132</v>
      </c>
      <c r="O111" s="310">
        <v>0</v>
      </c>
      <c r="P111" s="315">
        <f t="shared" si="128"/>
        <v>0</v>
      </c>
      <c r="Q111" s="394" t="s">
        <v>132</v>
      </c>
      <c r="R111" s="204">
        <v>0</v>
      </c>
      <c r="S111" s="204">
        <f t="shared" si="108"/>
        <v>0</v>
      </c>
      <c r="T111" s="394" t="s">
        <v>132</v>
      </c>
      <c r="U111" s="204">
        <v>0</v>
      </c>
      <c r="V111" s="204">
        <f t="shared" si="129"/>
        <v>0</v>
      </c>
      <c r="W111" s="394" t="s">
        <v>132</v>
      </c>
      <c r="X111" s="201">
        <v>0</v>
      </c>
      <c r="Y111" s="204">
        <f t="shared" si="110"/>
        <v>0</v>
      </c>
      <c r="AA111" s="203">
        <v>0</v>
      </c>
      <c r="AB111" s="374">
        <f t="shared" si="112"/>
        <v>0</v>
      </c>
      <c r="AC111" s="205" t="e">
        <f>AB111/X111</f>
        <v>#DIV/0!</v>
      </c>
      <c r="AD111" s="200">
        <v>395</v>
      </c>
      <c r="AE111" s="200"/>
      <c r="AF111" s="204">
        <v>0</v>
      </c>
      <c r="AG111" s="204">
        <f t="shared" si="114"/>
        <v>0</v>
      </c>
      <c r="AH111" s="304" t="e">
        <f t="shared" si="115"/>
        <v>#DIV/0!</v>
      </c>
      <c r="AI111" s="200">
        <v>395</v>
      </c>
      <c r="AJ111" s="66">
        <v>395</v>
      </c>
      <c r="AK111" s="66">
        <v>76</v>
      </c>
      <c r="AL111" s="354">
        <v>320</v>
      </c>
      <c r="AM111" s="204">
        <f t="shared" si="116"/>
        <v>396</v>
      </c>
      <c r="AN111" s="66">
        <v>72</v>
      </c>
      <c r="AO111" s="66">
        <v>72</v>
      </c>
      <c r="AP111" s="200">
        <v>6</v>
      </c>
      <c r="AQ111" s="200">
        <v>1</v>
      </c>
      <c r="AR111" s="200">
        <f t="shared" si="131"/>
        <v>7</v>
      </c>
      <c r="AS111" s="418">
        <f t="shared" si="132"/>
        <v>55.515050000000002</v>
      </c>
      <c r="AT111" s="200">
        <f t="shared" si="133"/>
        <v>55.515050000000002</v>
      </c>
      <c r="AU111" s="205" t="e">
        <f t="shared" si="134"/>
        <v>#DIV/0!</v>
      </c>
      <c r="AV111" s="200">
        <f t="shared" si="117"/>
        <v>55.515050000000002</v>
      </c>
      <c r="AW111" s="205" t="e">
        <f t="shared" si="118"/>
        <v>#DIV/0!</v>
      </c>
      <c r="AX111" s="200">
        <v>0</v>
      </c>
      <c r="AY111" s="204">
        <f t="shared" si="101"/>
        <v>0</v>
      </c>
      <c r="AZ111" s="199" t="e">
        <f t="shared" si="102"/>
        <v>#DIV/0!</v>
      </c>
      <c r="BA111" s="560">
        <v>320.01812999999999</v>
      </c>
      <c r="BB111" s="560">
        <v>48.515050000000002</v>
      </c>
      <c r="BC111" s="560">
        <f t="shared" si="135"/>
        <v>271.50307999999995</v>
      </c>
      <c r="BD111" s="304">
        <f t="shared" si="136"/>
        <v>0.84839905789087622</v>
      </c>
      <c r="BE111" s="200">
        <v>0</v>
      </c>
      <c r="BF111" s="204">
        <f t="shared" si="142"/>
        <v>0</v>
      </c>
      <c r="BG111" s="199" t="e">
        <f t="shared" si="120"/>
        <v>#DIV/0!</v>
      </c>
      <c r="BH111" s="200"/>
      <c r="BI111" s="200"/>
      <c r="BJ111" s="200"/>
      <c r="BK111" s="200"/>
      <c r="BL111" s="206">
        <f t="shared" si="103"/>
        <v>0</v>
      </c>
      <c r="BM111" s="206">
        <f t="shared" si="121"/>
        <v>-55.515050000000002</v>
      </c>
      <c r="BN111" s="206"/>
      <c r="BO111" s="206"/>
      <c r="BP111" s="206">
        <f t="shared" si="98"/>
        <v>0</v>
      </c>
      <c r="BQ111" s="199">
        <f t="shared" si="122"/>
        <v>-1</v>
      </c>
      <c r="BR111" s="205" t="e">
        <f t="shared" si="99"/>
        <v>#DIV/0!</v>
      </c>
      <c r="BV111" s="66">
        <v>9</v>
      </c>
      <c r="BW111" s="207">
        <f t="shared" si="123"/>
        <v>9</v>
      </c>
      <c r="BX111" s="206">
        <v>0</v>
      </c>
      <c r="BY111" s="206"/>
      <c r="BZ111" s="206">
        <f t="shared" si="138"/>
        <v>0</v>
      </c>
      <c r="CA111" s="206">
        <f t="shared" si="100"/>
        <v>0</v>
      </c>
      <c r="CB111" s="199" t="e">
        <f t="shared" si="137"/>
        <v>#DIV/0!</v>
      </c>
      <c r="CC111" s="206"/>
      <c r="CD111" s="206"/>
      <c r="CE111" s="206"/>
      <c r="CF111" s="206">
        <f t="shared" si="141"/>
        <v>0</v>
      </c>
      <c r="CG111" s="206">
        <f t="shared" si="124"/>
        <v>0</v>
      </c>
      <c r="CH111" s="304" t="e">
        <f t="shared" si="125"/>
        <v>#DIV/0!</v>
      </c>
      <c r="CI111" s="206">
        <v>0</v>
      </c>
      <c r="CJ111" s="206"/>
      <c r="CK111" s="206">
        <f t="shared" si="126"/>
        <v>0</v>
      </c>
      <c r="CL111" s="206">
        <f t="shared" si="95"/>
        <v>0</v>
      </c>
      <c r="CM111" s="608" t="e">
        <f t="shared" si="127"/>
        <v>#DIV/0!</v>
      </c>
      <c r="CN111" s="204">
        <v>0</v>
      </c>
      <c r="CO111" s="206">
        <f t="shared" si="96"/>
        <v>0</v>
      </c>
      <c r="CP111" s="304" t="e">
        <f t="shared" si="97"/>
        <v>#DIV/0!</v>
      </c>
    </row>
    <row r="112" spans="1:94" s="68" customFormat="1" ht="18" customHeight="1" x14ac:dyDescent="0.25">
      <c r="A112" s="68" t="s">
        <v>224</v>
      </c>
      <c r="B112" s="416" t="s">
        <v>132</v>
      </c>
      <c r="C112" s="416" t="s">
        <v>132</v>
      </c>
      <c r="D112" s="567" t="s">
        <v>132</v>
      </c>
      <c r="E112" s="567" t="s">
        <v>132</v>
      </c>
      <c r="F112" s="567" t="s">
        <v>132</v>
      </c>
      <c r="G112" s="567" t="s">
        <v>132</v>
      </c>
      <c r="H112" s="567" t="s">
        <v>132</v>
      </c>
      <c r="I112" s="567" t="s">
        <v>132</v>
      </c>
      <c r="J112" s="567" t="s">
        <v>132</v>
      </c>
      <c r="K112" s="567" t="s">
        <v>132</v>
      </c>
      <c r="L112" s="416">
        <v>0</v>
      </c>
      <c r="M112" s="423">
        <v>0</v>
      </c>
      <c r="N112" s="417" t="s">
        <v>132</v>
      </c>
      <c r="O112" s="423">
        <v>24242</v>
      </c>
      <c r="P112" s="423">
        <f t="shared" si="128"/>
        <v>24242</v>
      </c>
      <c r="Q112" s="417" t="s">
        <v>132</v>
      </c>
      <c r="R112" s="423">
        <v>28547</v>
      </c>
      <c r="S112" s="423">
        <f t="shared" si="108"/>
        <v>4305</v>
      </c>
      <c r="T112" s="420">
        <f>S112/O112</f>
        <v>0.17758435772626022</v>
      </c>
      <c r="U112" s="423">
        <v>32063</v>
      </c>
      <c r="V112" s="423">
        <f t="shared" si="129"/>
        <v>3516</v>
      </c>
      <c r="W112" s="420">
        <f t="shared" si="130"/>
        <v>0.12316530633691807</v>
      </c>
      <c r="X112" s="463">
        <v>40578</v>
      </c>
      <c r="Y112" s="203">
        <f t="shared" si="110"/>
        <v>8515</v>
      </c>
      <c r="Z112" s="484">
        <f>Y112/U112</f>
        <v>0.26557090727629978</v>
      </c>
      <c r="AA112" s="423">
        <v>47124</v>
      </c>
      <c r="AB112" s="617">
        <f t="shared" si="112"/>
        <v>6546</v>
      </c>
      <c r="AC112" s="618">
        <f>AB112/X112</f>
        <v>0.16131894129824043</v>
      </c>
      <c r="AD112" s="319">
        <v>29873</v>
      </c>
      <c r="AE112" s="319">
        <v>11038</v>
      </c>
      <c r="AF112" s="203">
        <f>31003+6900</f>
        <v>37903</v>
      </c>
      <c r="AG112" s="203">
        <f t="shared" si="114"/>
        <v>-9221</v>
      </c>
      <c r="AH112" s="397">
        <f t="shared" si="115"/>
        <v>-0.19567523979288684</v>
      </c>
      <c r="AI112" s="319">
        <f>29873-1000</f>
        <v>28873</v>
      </c>
      <c r="AJ112" s="68">
        <f>40911-1000</f>
        <v>39911</v>
      </c>
      <c r="AK112" s="68">
        <v>33477</v>
      </c>
      <c r="AL112" s="354"/>
      <c r="AM112" s="203">
        <f t="shared" si="116"/>
        <v>33477</v>
      </c>
      <c r="AN112" s="68">
        <v>24758</v>
      </c>
      <c r="AO112" s="148">
        <v>51331</v>
      </c>
      <c r="AP112" s="319">
        <v>5427</v>
      </c>
      <c r="AQ112" s="319">
        <v>293</v>
      </c>
      <c r="AR112" s="418">
        <f t="shared" si="131"/>
        <v>5720</v>
      </c>
      <c r="AS112" s="418">
        <f t="shared" si="132"/>
        <v>46191.857759999999</v>
      </c>
      <c r="AT112" s="418">
        <f t="shared" si="133"/>
        <v>8288.857759999999</v>
      </c>
      <c r="AU112" s="485">
        <f t="shared" si="134"/>
        <v>0.21868606073397881</v>
      </c>
      <c r="AV112" s="319">
        <f t="shared" si="117"/>
        <v>8288.857759999999</v>
      </c>
      <c r="AW112" s="618">
        <f t="shared" si="118"/>
        <v>0.21868606073397881</v>
      </c>
      <c r="AX112" s="319">
        <f>45558</f>
        <v>45558</v>
      </c>
      <c r="AY112" s="203">
        <f t="shared" si="101"/>
        <v>7655</v>
      </c>
      <c r="AZ112" s="362">
        <f t="shared" si="102"/>
        <v>0.20196290531092526</v>
      </c>
      <c r="BA112" s="560">
        <f>26686.13797+18871.98632</f>
        <v>45558.12429</v>
      </c>
      <c r="BB112" s="560">
        <f>26684.86363+13786.99413</f>
        <v>40471.857759999999</v>
      </c>
      <c r="BC112" s="560">
        <f t="shared" si="135"/>
        <v>5086.2665300000008</v>
      </c>
      <c r="BD112" s="304">
        <f t="shared" si="136"/>
        <v>0.1116434578742399</v>
      </c>
      <c r="BE112" s="319">
        <v>34812</v>
      </c>
      <c r="BF112" s="203">
        <f t="shared" si="142"/>
        <v>-10746</v>
      </c>
      <c r="BG112" s="362">
        <f t="shared" si="120"/>
        <v>-0.23587514816278152</v>
      </c>
      <c r="BH112" s="418">
        <v>5749</v>
      </c>
      <c r="BI112" s="418"/>
      <c r="BJ112" s="418"/>
      <c r="BK112" s="418"/>
      <c r="BL112" s="309">
        <f t="shared" si="103"/>
        <v>40561</v>
      </c>
      <c r="BM112" s="309">
        <f t="shared" si="121"/>
        <v>-5630.857759999999</v>
      </c>
      <c r="BN112" s="309">
        <v>43746</v>
      </c>
      <c r="BO112" s="309">
        <v>43540</v>
      </c>
      <c r="BP112" s="206">
        <f t="shared" si="98"/>
        <v>8728</v>
      </c>
      <c r="BQ112" s="362">
        <f t="shared" si="122"/>
        <v>-0.12190152189280554</v>
      </c>
      <c r="BR112" s="205">
        <f t="shared" si="99"/>
        <v>0.25071814316902219</v>
      </c>
      <c r="BS112" s="573">
        <v>5698</v>
      </c>
      <c r="BV112" s="66">
        <v>6</v>
      </c>
      <c r="BW112" s="207">
        <f t="shared" si="123"/>
        <v>49450</v>
      </c>
      <c r="BX112" s="206">
        <v>43540</v>
      </c>
      <c r="BY112" s="206"/>
      <c r="BZ112" s="206">
        <v>36820</v>
      </c>
      <c r="CA112" s="206">
        <f t="shared" si="100"/>
        <v>2008</v>
      </c>
      <c r="CB112" s="199">
        <f t="shared" si="137"/>
        <v>5.7681259335861199E-2</v>
      </c>
      <c r="CC112" s="573">
        <v>43803</v>
      </c>
      <c r="CD112" s="573">
        <v>43753</v>
      </c>
      <c r="CE112" s="573"/>
      <c r="CF112" s="206">
        <v>37792</v>
      </c>
      <c r="CG112" s="206">
        <f t="shared" si="124"/>
        <v>972</v>
      </c>
      <c r="CH112" s="304">
        <f t="shared" si="125"/>
        <v>2.6398696360673546E-2</v>
      </c>
      <c r="CI112" s="573">
        <v>43481</v>
      </c>
      <c r="CJ112" s="573"/>
      <c r="CK112" s="573">
        <f t="shared" si="126"/>
        <v>43481</v>
      </c>
      <c r="CL112" s="206">
        <f t="shared" si="95"/>
        <v>5689</v>
      </c>
      <c r="CM112" s="608">
        <f t="shared" si="127"/>
        <v>0.15053450465707027</v>
      </c>
      <c r="CN112" s="423">
        <v>45168</v>
      </c>
      <c r="CO112" s="206">
        <f t="shared" si="96"/>
        <v>1687</v>
      </c>
      <c r="CP112" s="304">
        <f t="shared" si="97"/>
        <v>3.8798555690991471E-2</v>
      </c>
    </row>
    <row r="113" spans="1:246" ht="18" customHeight="1" x14ac:dyDescent="0.25">
      <c r="A113" s="317" t="s">
        <v>225</v>
      </c>
      <c r="B113" s="302" t="s">
        <v>132</v>
      </c>
      <c r="C113" s="302" t="s">
        <v>132</v>
      </c>
      <c r="D113" s="310" t="s">
        <v>132</v>
      </c>
      <c r="E113" s="310" t="s">
        <v>132</v>
      </c>
      <c r="F113" s="310" t="s">
        <v>132</v>
      </c>
      <c r="G113" s="310" t="s">
        <v>132</v>
      </c>
      <c r="H113" s="310" t="s">
        <v>132</v>
      </c>
      <c r="I113" s="310" t="s">
        <v>132</v>
      </c>
      <c r="J113" s="310" t="s">
        <v>132</v>
      </c>
      <c r="K113" s="310" t="s">
        <v>132</v>
      </c>
      <c r="L113" s="302"/>
      <c r="M113" s="315"/>
      <c r="N113" s="395"/>
      <c r="O113" s="315"/>
      <c r="P113" s="315"/>
      <c r="Q113" s="395"/>
      <c r="R113" s="315"/>
      <c r="S113" s="315"/>
      <c r="T113" s="316"/>
      <c r="U113" s="315"/>
      <c r="V113" s="315"/>
      <c r="W113" s="316"/>
      <c r="X113" s="201">
        <v>0</v>
      </c>
      <c r="Y113" s="204">
        <f t="shared" si="110"/>
        <v>0</v>
      </c>
      <c r="AA113" s="576">
        <v>0</v>
      </c>
      <c r="AB113" s="374">
        <f t="shared" si="112"/>
        <v>0</v>
      </c>
      <c r="AC113" s="395" t="s">
        <v>132</v>
      </c>
      <c r="AD113" s="200">
        <v>225</v>
      </c>
      <c r="AE113" s="200">
        <v>525</v>
      </c>
      <c r="AF113" s="204">
        <v>0</v>
      </c>
      <c r="AG113" s="204">
        <f t="shared" si="114"/>
        <v>0</v>
      </c>
      <c r="AH113" s="304" t="e">
        <f t="shared" si="115"/>
        <v>#DIV/0!</v>
      </c>
      <c r="AI113" s="200">
        <f>225-225</f>
        <v>0</v>
      </c>
      <c r="AJ113" s="66">
        <f>750-225</f>
        <v>525</v>
      </c>
      <c r="AL113" s="354">
        <v>225</v>
      </c>
      <c r="AM113" s="204">
        <f t="shared" si="116"/>
        <v>225</v>
      </c>
      <c r="AN113" s="68">
        <v>0</v>
      </c>
      <c r="AO113" s="317">
        <v>0</v>
      </c>
      <c r="AP113" s="319">
        <v>0</v>
      </c>
      <c r="AQ113" s="319">
        <v>0</v>
      </c>
      <c r="AR113" s="200">
        <f t="shared" si="131"/>
        <v>0</v>
      </c>
      <c r="AS113" s="418">
        <f t="shared" si="132"/>
        <v>0</v>
      </c>
      <c r="AT113" s="200">
        <f t="shared" si="133"/>
        <v>0</v>
      </c>
      <c r="AU113" s="205" t="e">
        <f t="shared" si="134"/>
        <v>#DIV/0!</v>
      </c>
      <c r="AV113" s="319">
        <f t="shared" si="117"/>
        <v>0</v>
      </c>
      <c r="AW113" s="205" t="e">
        <f t="shared" si="118"/>
        <v>#DIV/0!</v>
      </c>
      <c r="AX113" s="200">
        <v>0</v>
      </c>
      <c r="AY113" s="204">
        <f t="shared" si="101"/>
        <v>0</v>
      </c>
      <c r="AZ113" s="199" t="e">
        <f t="shared" si="102"/>
        <v>#DIV/0!</v>
      </c>
      <c r="BA113" s="207">
        <v>250</v>
      </c>
      <c r="BB113" s="199"/>
      <c r="BC113" s="560">
        <f t="shared" si="135"/>
        <v>250</v>
      </c>
      <c r="BD113" s="304">
        <f t="shared" si="136"/>
        <v>1</v>
      </c>
      <c r="BE113" s="200">
        <v>0</v>
      </c>
      <c r="BF113" s="204">
        <f t="shared" si="142"/>
        <v>0</v>
      </c>
      <c r="BG113" s="199" t="e">
        <f t="shared" si="120"/>
        <v>#DIV/0!</v>
      </c>
      <c r="BH113" s="200"/>
      <c r="BI113" s="200"/>
      <c r="BJ113" s="200"/>
      <c r="BK113" s="200"/>
      <c r="BL113" s="206">
        <f t="shared" si="103"/>
        <v>0</v>
      </c>
      <c r="BM113" s="206">
        <f t="shared" si="121"/>
        <v>0</v>
      </c>
      <c r="BN113" s="206"/>
      <c r="BO113" s="206"/>
      <c r="BP113" s="206">
        <f t="shared" si="98"/>
        <v>0</v>
      </c>
      <c r="BQ113" s="199" t="e">
        <f t="shared" si="122"/>
        <v>#DIV/0!</v>
      </c>
      <c r="BR113" s="205" t="e">
        <f t="shared" si="99"/>
        <v>#DIV/0!</v>
      </c>
      <c r="BW113" s="207">
        <f t="shared" si="123"/>
        <v>0</v>
      </c>
      <c r="BX113" s="206"/>
      <c r="BY113" s="206"/>
      <c r="BZ113" s="206">
        <f t="shared" si="138"/>
        <v>0</v>
      </c>
      <c r="CA113" s="206">
        <f t="shared" si="100"/>
        <v>0</v>
      </c>
      <c r="CB113" s="199" t="e">
        <f t="shared" si="137"/>
        <v>#DIV/0!</v>
      </c>
      <c r="CC113" s="206"/>
      <c r="CD113" s="206"/>
      <c r="CE113" s="206"/>
      <c r="CF113" s="206">
        <f t="shared" si="141"/>
        <v>0</v>
      </c>
      <c r="CG113" s="206">
        <f t="shared" si="124"/>
        <v>0</v>
      </c>
      <c r="CH113" s="304" t="e">
        <f t="shared" si="125"/>
        <v>#DIV/0!</v>
      </c>
      <c r="CI113" s="206">
        <v>0</v>
      </c>
      <c r="CJ113" s="206"/>
      <c r="CK113" s="206">
        <f t="shared" si="126"/>
        <v>0</v>
      </c>
      <c r="CL113" s="206">
        <f t="shared" si="95"/>
        <v>0</v>
      </c>
      <c r="CM113" s="608" t="e">
        <f t="shared" si="127"/>
        <v>#DIV/0!</v>
      </c>
      <c r="CN113" s="204">
        <v>0</v>
      </c>
      <c r="CO113" s="206">
        <f t="shared" si="96"/>
        <v>0</v>
      </c>
      <c r="CP113" s="304" t="e">
        <f t="shared" si="97"/>
        <v>#DIV/0!</v>
      </c>
    </row>
    <row r="114" spans="1:246" ht="18" customHeight="1" x14ac:dyDescent="0.25">
      <c r="A114" s="68" t="s">
        <v>226</v>
      </c>
      <c r="B114" s="302" t="s">
        <v>132</v>
      </c>
      <c r="C114" s="302" t="s">
        <v>132</v>
      </c>
      <c r="D114" s="310" t="s">
        <v>132</v>
      </c>
      <c r="E114" s="310" t="s">
        <v>132</v>
      </c>
      <c r="F114" s="310" t="s">
        <v>132</v>
      </c>
      <c r="G114" s="310" t="s">
        <v>132</v>
      </c>
      <c r="H114" s="310" t="s">
        <v>132</v>
      </c>
      <c r="I114" s="310">
        <f>47</f>
        <v>47</v>
      </c>
      <c r="J114" s="310" t="s">
        <v>132</v>
      </c>
      <c r="K114" s="310" t="s">
        <v>132</v>
      </c>
      <c r="L114" s="302">
        <f>46</f>
        <v>46</v>
      </c>
      <c r="M114" s="315"/>
      <c r="N114" s="395"/>
      <c r="O114" s="315">
        <f>49</f>
        <v>49</v>
      </c>
      <c r="P114" s="315"/>
      <c r="Q114" s="395"/>
      <c r="R114" s="315"/>
      <c r="S114" s="315"/>
      <c r="T114" s="316"/>
      <c r="U114" s="315"/>
      <c r="V114" s="315"/>
      <c r="W114" s="316"/>
      <c r="X114" s="201">
        <f>9165+222</f>
        <v>9387</v>
      </c>
      <c r="Y114" s="204"/>
      <c r="AA114" s="576">
        <f>25+13887+905+750</f>
        <v>15567</v>
      </c>
      <c r="AB114" s="374"/>
      <c r="AC114" s="395"/>
      <c r="AD114" s="200"/>
      <c r="AE114" s="200"/>
      <c r="AF114" s="204">
        <f>4667+395</f>
        <v>5062</v>
      </c>
      <c r="AG114" s="204">
        <f t="shared" si="114"/>
        <v>-10505</v>
      </c>
      <c r="AH114" s="304">
        <f t="shared" si="115"/>
        <v>-0.67482495021519884</v>
      </c>
      <c r="AI114" s="200"/>
      <c r="AL114" s="354"/>
      <c r="AM114" s="204"/>
      <c r="AN114" s="68"/>
      <c r="AO114" s="317"/>
      <c r="AP114" s="319"/>
      <c r="AQ114" s="319"/>
      <c r="AR114" s="200">
        <f t="shared" si="131"/>
        <v>0</v>
      </c>
      <c r="AS114" s="418">
        <f t="shared" si="132"/>
        <v>296.05795999999998</v>
      </c>
      <c r="AT114" s="200">
        <f t="shared" si="133"/>
        <v>-4765.9420399999999</v>
      </c>
      <c r="AU114" s="205">
        <f t="shared" si="134"/>
        <v>-0.94151363887791384</v>
      </c>
      <c r="AV114" s="319"/>
      <c r="AW114" s="205"/>
      <c r="AX114" s="200">
        <f>375+130+9507+70+250</f>
        <v>10332</v>
      </c>
      <c r="AY114" s="204">
        <f>AX114-AF114</f>
        <v>5270</v>
      </c>
      <c r="AZ114" s="199">
        <f t="shared" si="102"/>
        <v>1.0410904780719084</v>
      </c>
      <c r="BA114" s="560">
        <v>375</v>
      </c>
      <c r="BB114" s="560">
        <v>296.05795999999998</v>
      </c>
      <c r="BC114" s="560">
        <f t="shared" si="135"/>
        <v>78.94204000000002</v>
      </c>
      <c r="BD114" s="304">
        <f t="shared" si="136"/>
        <v>0.21051210666666673</v>
      </c>
      <c r="BE114" s="200">
        <v>10103</v>
      </c>
      <c r="BF114" s="204">
        <f t="shared" si="142"/>
        <v>-229</v>
      </c>
      <c r="BG114" s="199">
        <f t="shared" si="120"/>
        <v>-2.2164150212930701E-2</v>
      </c>
      <c r="BH114" s="200"/>
      <c r="BI114" s="200"/>
      <c r="BJ114" s="200"/>
      <c r="BK114" s="200">
        <v>21</v>
      </c>
      <c r="BL114" s="206">
        <f t="shared" si="103"/>
        <v>10124</v>
      </c>
      <c r="BM114" s="206">
        <f t="shared" si="121"/>
        <v>9827.9420399999999</v>
      </c>
      <c r="BN114" s="206">
        <f>11195-2951</f>
        <v>8244</v>
      </c>
      <c r="BO114" s="206">
        <v>1954</v>
      </c>
      <c r="BP114" s="206">
        <f t="shared" si="98"/>
        <v>-8149</v>
      </c>
      <c r="BQ114" s="199">
        <f t="shared" si="122"/>
        <v>33.196006754893538</v>
      </c>
      <c r="BR114" s="205">
        <f t="shared" si="99"/>
        <v>-0.80659210135603288</v>
      </c>
      <c r="BW114" s="207">
        <f t="shared" si="123"/>
        <v>8244</v>
      </c>
      <c r="BX114" s="206">
        <v>13099</v>
      </c>
      <c r="BY114" s="206"/>
      <c r="BZ114" s="206">
        <v>11802</v>
      </c>
      <c r="CA114" s="206">
        <f t="shared" si="100"/>
        <v>1699</v>
      </c>
      <c r="CB114" s="199">
        <f t="shared" si="137"/>
        <v>0.16816787092942689</v>
      </c>
      <c r="CC114" s="206">
        <v>18180</v>
      </c>
      <c r="CD114" s="206">
        <v>19360</v>
      </c>
      <c r="CE114" s="206"/>
      <c r="CF114" s="206">
        <v>18348</v>
      </c>
      <c r="CG114" s="206">
        <f t="shared" si="124"/>
        <v>6546</v>
      </c>
      <c r="CH114" s="304">
        <f t="shared" si="125"/>
        <v>0.55465175394001021</v>
      </c>
      <c r="CI114" s="206">
        <v>21878</v>
      </c>
      <c r="CJ114" s="206"/>
      <c r="CK114" s="206">
        <f t="shared" si="126"/>
        <v>21878</v>
      </c>
      <c r="CL114" s="206">
        <f t="shared" si="95"/>
        <v>3530</v>
      </c>
      <c r="CM114" s="608">
        <f t="shared" si="127"/>
        <v>0.19239154131240463</v>
      </c>
      <c r="CN114" s="204">
        <v>0</v>
      </c>
      <c r="CO114" s="206">
        <f t="shared" si="96"/>
        <v>-21878</v>
      </c>
      <c r="CP114" s="304">
        <f t="shared" si="97"/>
        <v>-1</v>
      </c>
    </row>
    <row r="115" spans="1:246" ht="18" customHeight="1" x14ac:dyDescent="0.25">
      <c r="A115" s="68" t="s">
        <v>227</v>
      </c>
      <c r="B115" s="302"/>
      <c r="C115" s="302"/>
      <c r="D115" s="310"/>
      <c r="E115" s="310"/>
      <c r="F115" s="310"/>
      <c r="G115" s="310"/>
      <c r="H115" s="310"/>
      <c r="I115" s="310"/>
      <c r="J115" s="310"/>
      <c r="K115" s="310"/>
      <c r="L115" s="302"/>
      <c r="M115" s="315"/>
      <c r="N115" s="395"/>
      <c r="O115" s="315"/>
      <c r="P115" s="315"/>
      <c r="Q115" s="395"/>
      <c r="R115" s="315"/>
      <c r="S115" s="315"/>
      <c r="T115" s="316"/>
      <c r="U115" s="315"/>
      <c r="V115" s="315"/>
      <c r="W115" s="316"/>
      <c r="Y115" s="204"/>
      <c r="AA115" s="576"/>
      <c r="AB115" s="374"/>
      <c r="AC115" s="395"/>
      <c r="AD115" s="200"/>
      <c r="AE115" s="200"/>
      <c r="AH115" s="304"/>
      <c r="AI115" s="200"/>
      <c r="AL115" s="354"/>
      <c r="AM115" s="204"/>
      <c r="AN115" s="68"/>
      <c r="AO115" s="317"/>
      <c r="AP115" s="319"/>
      <c r="AQ115" s="319"/>
      <c r="AR115" s="200"/>
      <c r="AS115" s="418"/>
      <c r="AT115" s="200"/>
      <c r="AU115" s="205"/>
      <c r="AV115" s="319"/>
      <c r="AW115" s="205"/>
      <c r="AX115" s="200"/>
      <c r="AZ115" s="199"/>
      <c r="BA115" s="560"/>
      <c r="BB115" s="560"/>
      <c r="BC115" s="560"/>
      <c r="BE115" s="200"/>
      <c r="BG115" s="199"/>
      <c r="BH115" s="200"/>
      <c r="BI115" s="200"/>
      <c r="BJ115" s="200"/>
      <c r="BK115" s="200"/>
      <c r="BL115" s="206"/>
      <c r="BM115" s="206"/>
      <c r="BN115" s="206">
        <v>8294</v>
      </c>
      <c r="BO115" s="206">
        <v>8505</v>
      </c>
      <c r="BP115" s="206">
        <f t="shared" si="98"/>
        <v>8505</v>
      </c>
      <c r="BQ115" s="199"/>
      <c r="BR115" s="205" t="e">
        <f t="shared" si="99"/>
        <v>#DIV/0!</v>
      </c>
      <c r="BW115" s="207">
        <f t="shared" si="123"/>
        <v>8294</v>
      </c>
      <c r="BX115" s="206">
        <v>8505</v>
      </c>
      <c r="BY115" s="206"/>
      <c r="BZ115" s="206">
        <v>7546</v>
      </c>
      <c r="CA115" s="206">
        <f t="shared" si="100"/>
        <v>7546</v>
      </c>
      <c r="CB115" s="199" t="e">
        <f t="shared" si="137"/>
        <v>#DIV/0!</v>
      </c>
      <c r="CC115" s="206">
        <v>8864</v>
      </c>
      <c r="CD115" s="206">
        <v>12391</v>
      </c>
      <c r="CE115" s="206"/>
      <c r="CF115" s="206">
        <v>11856</v>
      </c>
      <c r="CG115" s="206">
        <f t="shared" si="124"/>
        <v>4310</v>
      </c>
      <c r="CH115" s="304">
        <f t="shared" si="125"/>
        <v>0.5711635303472038</v>
      </c>
      <c r="CI115" s="206">
        <v>14472</v>
      </c>
      <c r="CJ115" s="206"/>
      <c r="CK115" s="206">
        <f t="shared" si="126"/>
        <v>14472</v>
      </c>
      <c r="CL115" s="206">
        <f t="shared" si="95"/>
        <v>2616</v>
      </c>
      <c r="CM115" s="608">
        <f t="shared" si="127"/>
        <v>0.22064777327935223</v>
      </c>
      <c r="CN115" s="204">
        <v>14614</v>
      </c>
      <c r="CO115" s="206">
        <f t="shared" si="96"/>
        <v>142</v>
      </c>
      <c r="CP115" s="304">
        <f t="shared" si="97"/>
        <v>9.8120508568269767E-3</v>
      </c>
    </row>
    <row r="116" spans="1:246" s="211" customFormat="1" ht="18" customHeight="1" thickBot="1" x14ac:dyDescent="0.3">
      <c r="A116" s="325" t="s">
        <v>228</v>
      </c>
      <c r="B116" s="326" t="s">
        <v>132</v>
      </c>
      <c r="C116" s="326" t="s">
        <v>132</v>
      </c>
      <c r="D116" s="326" t="s">
        <v>132</v>
      </c>
      <c r="E116" s="326" t="s">
        <v>132</v>
      </c>
      <c r="F116" s="326" t="s">
        <v>132</v>
      </c>
      <c r="G116" s="326" t="s">
        <v>132</v>
      </c>
      <c r="H116" s="326" t="s">
        <v>132</v>
      </c>
      <c r="I116" s="326" t="s">
        <v>132</v>
      </c>
      <c r="J116" s="326" t="s">
        <v>132</v>
      </c>
      <c r="K116" s="326" t="s">
        <v>132</v>
      </c>
      <c r="L116" s="326"/>
      <c r="M116" s="327"/>
      <c r="N116" s="412"/>
      <c r="O116" s="327"/>
      <c r="P116" s="327"/>
      <c r="Q116" s="412"/>
      <c r="R116" s="327"/>
      <c r="S116" s="327"/>
      <c r="T116" s="328"/>
      <c r="U116" s="327"/>
      <c r="V116" s="327"/>
      <c r="W116" s="328"/>
      <c r="X116" s="592">
        <v>3773</v>
      </c>
      <c r="Y116" s="327">
        <f t="shared" si="110"/>
        <v>3773</v>
      </c>
      <c r="Z116" s="594"/>
      <c r="AA116" s="428"/>
      <c r="AB116" s="450">
        <f t="shared" si="112"/>
        <v>-3773</v>
      </c>
      <c r="AC116" s="334">
        <f>AB116/X116</f>
        <v>-1</v>
      </c>
      <c r="AF116" s="327"/>
      <c r="AG116" s="327">
        <f t="shared" si="114"/>
        <v>0</v>
      </c>
      <c r="AH116" s="328" t="e">
        <f t="shared" si="115"/>
        <v>#DIV/0!</v>
      </c>
      <c r="AJ116" s="211">
        <v>0</v>
      </c>
      <c r="AL116" s="451"/>
      <c r="AM116" s="327">
        <f t="shared" si="116"/>
        <v>0</v>
      </c>
      <c r="AP116" s="331"/>
      <c r="AQ116" s="331"/>
      <c r="AR116" s="331">
        <f t="shared" si="131"/>
        <v>0</v>
      </c>
      <c r="AS116" s="427">
        <f t="shared" si="132"/>
        <v>20444.884999999998</v>
      </c>
      <c r="AT116" s="331">
        <f t="shared" si="133"/>
        <v>20444.884999999998</v>
      </c>
      <c r="AU116" s="334" t="e">
        <f t="shared" si="134"/>
        <v>#DIV/0!</v>
      </c>
      <c r="AV116" s="331">
        <f t="shared" si="117"/>
        <v>20444.884999999998</v>
      </c>
      <c r="AW116" s="334" t="e">
        <f t="shared" si="118"/>
        <v>#DIV/0!</v>
      </c>
      <c r="AX116" s="331"/>
      <c r="AY116" s="327">
        <f t="shared" si="101"/>
        <v>0</v>
      </c>
      <c r="AZ116" s="212" t="e">
        <f t="shared" si="102"/>
        <v>#DIV/0!</v>
      </c>
      <c r="BA116" s="595">
        <v>20444.884999999998</v>
      </c>
      <c r="BB116" s="595">
        <v>20444.884999999998</v>
      </c>
      <c r="BC116" s="595">
        <f t="shared" si="135"/>
        <v>0</v>
      </c>
      <c r="BD116" s="328">
        <f t="shared" si="136"/>
        <v>0</v>
      </c>
      <c r="BE116" s="331"/>
      <c r="BF116" s="327">
        <f t="shared" si="142"/>
        <v>0</v>
      </c>
      <c r="BG116" s="212" t="e">
        <f t="shared" si="120"/>
        <v>#DIV/0!</v>
      </c>
      <c r="BH116" s="331"/>
      <c r="BI116" s="331"/>
      <c r="BJ116" s="331"/>
      <c r="BK116" s="331"/>
      <c r="BL116" s="333">
        <f t="shared" si="103"/>
        <v>0</v>
      </c>
      <c r="BM116" s="333">
        <f t="shared" si="121"/>
        <v>-20444.884999999998</v>
      </c>
      <c r="BN116" s="333"/>
      <c r="BP116" s="333">
        <f t="shared" si="98"/>
        <v>0</v>
      </c>
      <c r="BQ116" s="212">
        <f t="shared" si="122"/>
        <v>-1</v>
      </c>
      <c r="BR116" s="334" t="e">
        <f t="shared" si="99"/>
        <v>#DIV/0!</v>
      </c>
      <c r="BS116" s="333"/>
      <c r="BW116" s="329">
        <f t="shared" si="123"/>
        <v>0</v>
      </c>
      <c r="BX116" s="333"/>
      <c r="BY116" s="333"/>
      <c r="BZ116" s="333">
        <f t="shared" si="138"/>
        <v>0</v>
      </c>
      <c r="CA116" s="333">
        <f t="shared" si="100"/>
        <v>0</v>
      </c>
      <c r="CB116" s="212" t="e">
        <f t="shared" si="137"/>
        <v>#DIV/0!</v>
      </c>
      <c r="CC116" s="333"/>
      <c r="CD116" s="333"/>
      <c r="CE116" s="333"/>
      <c r="CF116" s="206">
        <f t="shared" si="141"/>
        <v>0</v>
      </c>
      <c r="CG116" s="333">
        <f t="shared" si="124"/>
        <v>0</v>
      </c>
      <c r="CH116" s="304" t="e">
        <f t="shared" si="125"/>
        <v>#DIV/0!</v>
      </c>
      <c r="CI116" s="333">
        <v>0</v>
      </c>
      <c r="CJ116" s="413"/>
      <c r="CK116" s="413">
        <f t="shared" si="126"/>
        <v>0</v>
      </c>
      <c r="CL116" s="206">
        <f t="shared" si="95"/>
        <v>0</v>
      </c>
      <c r="CM116" s="608" t="e">
        <f t="shared" si="127"/>
        <v>#DIV/0!</v>
      </c>
      <c r="CN116" s="327">
        <v>0</v>
      </c>
      <c r="CO116" s="206">
        <f t="shared" si="96"/>
        <v>0</v>
      </c>
      <c r="CP116" s="304" t="e">
        <f t="shared" si="97"/>
        <v>#DIV/0!</v>
      </c>
    </row>
    <row r="117" spans="1:246" s="65" customFormat="1" ht="18" customHeight="1" thickBot="1" x14ac:dyDescent="0.3">
      <c r="A117" s="363" t="s">
        <v>229</v>
      </c>
      <c r="B117" s="352">
        <f t="shared" ref="B117:I117" si="143">SUM(B93:B116)</f>
        <v>706747</v>
      </c>
      <c r="C117" s="352">
        <f t="shared" si="143"/>
        <v>717389</v>
      </c>
      <c r="D117" s="619">
        <f t="shared" si="77"/>
        <v>10642</v>
      </c>
      <c r="E117" s="619">
        <f>(C117-B117)/B117</f>
        <v>1.5057722211767436E-2</v>
      </c>
      <c r="F117" s="352">
        <f t="shared" si="143"/>
        <v>636160</v>
      </c>
      <c r="G117" s="352">
        <f t="shared" si="78"/>
        <v>-81229</v>
      </c>
      <c r="H117" s="352">
        <f>(F117-C117)/C117</f>
        <v>-0.11322866673450527</v>
      </c>
      <c r="I117" s="352">
        <f t="shared" si="143"/>
        <v>659479</v>
      </c>
      <c r="J117" s="352">
        <f t="shared" si="79"/>
        <v>23319</v>
      </c>
      <c r="K117" s="352">
        <f>(I117-F117)/F117</f>
        <v>3.6655872736418509E-2</v>
      </c>
      <c r="L117" s="352">
        <f>SUM(L93:L116)</f>
        <v>746064</v>
      </c>
      <c r="M117" s="352">
        <v>86583</v>
      </c>
      <c r="N117" s="352">
        <v>0.13128960500757414</v>
      </c>
      <c r="O117" s="352">
        <f>SUM(O93:O116)</f>
        <v>805467</v>
      </c>
      <c r="P117" s="352">
        <f>O117-L117</f>
        <v>59403</v>
      </c>
      <c r="Q117" s="352">
        <f>P117/L117</f>
        <v>7.9621855497651675E-2</v>
      </c>
      <c r="R117" s="352">
        <f>SUM(R93:R116)</f>
        <v>894748</v>
      </c>
      <c r="S117" s="352">
        <f t="shared" si="108"/>
        <v>89281</v>
      </c>
      <c r="T117" s="352">
        <f>S117/O117</f>
        <v>0.11084377137735003</v>
      </c>
      <c r="U117" s="352">
        <f>SUM(U93:U116)</f>
        <v>961430</v>
      </c>
      <c r="V117" s="352">
        <f>U117-R117</f>
        <v>66682</v>
      </c>
      <c r="W117" s="620">
        <f>V117/R117</f>
        <v>7.4526011793264693E-2</v>
      </c>
      <c r="X117" s="621">
        <f>SUM(X93:X116)</f>
        <v>1044461</v>
      </c>
      <c r="Y117" s="352">
        <f t="shared" si="110"/>
        <v>83031</v>
      </c>
      <c r="Z117" s="622">
        <f>Y117/U117</f>
        <v>8.6361981631528043E-2</v>
      </c>
      <c r="AA117" s="352">
        <f>SUM(AA93:AA116)</f>
        <v>1013227</v>
      </c>
      <c r="AB117" s="402">
        <f t="shared" si="112"/>
        <v>-31234</v>
      </c>
      <c r="AC117" s="352">
        <f>AB117/X117</f>
        <v>-2.9904419600157401E-2</v>
      </c>
      <c r="AD117" s="352">
        <f>SUM(AD93:AD116)</f>
        <v>931795</v>
      </c>
      <c r="AE117" s="352">
        <f>SUM(AE93:AE116)</f>
        <v>88395</v>
      </c>
      <c r="AF117" s="352">
        <f>SUM(AF93:AF116)</f>
        <v>1006117</v>
      </c>
      <c r="AG117" s="352">
        <f>AF117-AA117</f>
        <v>-7110</v>
      </c>
      <c r="AH117" s="352">
        <f>AG117/AA117</f>
        <v>-7.01718371105389E-3</v>
      </c>
      <c r="AI117" s="352">
        <f t="shared" ref="AI117:AO117" si="144">SUM(AI93:AI116)</f>
        <v>930266</v>
      </c>
      <c r="AJ117" s="352">
        <f t="shared" si="144"/>
        <v>1018661</v>
      </c>
      <c r="AK117" s="352">
        <f t="shared" si="144"/>
        <v>957625</v>
      </c>
      <c r="AL117" s="352">
        <f t="shared" si="144"/>
        <v>5845</v>
      </c>
      <c r="AM117" s="352">
        <f t="shared" si="144"/>
        <v>963470</v>
      </c>
      <c r="AN117" s="352">
        <f t="shared" si="144"/>
        <v>883558</v>
      </c>
      <c r="AO117" s="352">
        <f t="shared" si="144"/>
        <v>980477</v>
      </c>
      <c r="AP117" s="352">
        <f>SUM(AP93:AP116)</f>
        <v>35815</v>
      </c>
      <c r="AQ117" s="352">
        <f>SUM(AQ93:AQ116)</f>
        <v>1516</v>
      </c>
      <c r="AR117" s="352">
        <f>SUM(AR93:AR116)</f>
        <v>37331</v>
      </c>
      <c r="AS117" s="352">
        <f>BB117+AR117</f>
        <v>1031119.9855300003</v>
      </c>
      <c r="AT117" s="352">
        <f t="shared" si="133"/>
        <v>25002.985530000296</v>
      </c>
      <c r="AU117" s="352">
        <f t="shared" si="134"/>
        <v>2.4850972133459923E-2</v>
      </c>
      <c r="AV117" s="352">
        <f t="shared" si="117"/>
        <v>25002.985530000296</v>
      </c>
      <c r="AW117" s="352">
        <f t="shared" si="118"/>
        <v>2.4850972133459923E-2</v>
      </c>
      <c r="AX117" s="352">
        <f>SUM(AX93:AX116)</f>
        <v>990145</v>
      </c>
      <c r="AY117" s="352">
        <f t="shared" si="101"/>
        <v>-15972</v>
      </c>
      <c r="AZ117" s="352">
        <f t="shared" si="102"/>
        <v>-1.5874893277819577E-2</v>
      </c>
      <c r="BA117" s="352"/>
      <c r="BB117" s="352">
        <f>SUM(BB93:BB116)</f>
        <v>993788.9855300003</v>
      </c>
      <c r="BC117" s="352"/>
      <c r="BD117" s="352"/>
      <c r="BE117" s="352">
        <f>SUM(BE93:BE116)</f>
        <v>948966</v>
      </c>
      <c r="BF117" s="352">
        <f t="shared" si="142"/>
        <v>-41179</v>
      </c>
      <c r="BG117" s="352">
        <f t="shared" si="120"/>
        <v>-4.1588858197536722E-2</v>
      </c>
      <c r="BH117" s="352">
        <f>SUM(BH93:BH116)</f>
        <v>37438</v>
      </c>
      <c r="BI117" s="352"/>
      <c r="BJ117" s="352"/>
      <c r="BK117" s="352">
        <f>SUM(BK93:BK116)</f>
        <v>850</v>
      </c>
      <c r="BL117" s="352">
        <f t="shared" si="103"/>
        <v>987254</v>
      </c>
      <c r="BM117" s="352">
        <f t="shared" si="121"/>
        <v>-43865.985530000296</v>
      </c>
      <c r="BN117" s="352">
        <f>SUM(BN93:BN116)</f>
        <v>994221</v>
      </c>
      <c r="BO117" s="446">
        <f>SUM(BO93:BO115)</f>
        <v>984430</v>
      </c>
      <c r="BP117" s="352">
        <f t="shared" si="98"/>
        <v>35464</v>
      </c>
      <c r="BQ117" s="352">
        <f t="shared" si="122"/>
        <v>-4.2542076718116356E-2</v>
      </c>
      <c r="BR117" s="352">
        <f t="shared" si="99"/>
        <v>3.7371201918719954E-2</v>
      </c>
      <c r="BS117" s="352"/>
      <c r="BT117" s="352"/>
      <c r="BU117" s="352"/>
      <c r="BV117" s="352"/>
      <c r="BW117" s="352">
        <f>BW93+BW94+BW95+BW96+BW97+BW98+BW99+BW100+BW101+BW102+BW103+BW104+BW105+BW106+BW107+BW108+BW109+BW110+BW111+BW112+BW113+BW114+BW115+BW116</f>
        <v>1044801</v>
      </c>
      <c r="BX117" s="352">
        <f>SUM(BX93:BX116)</f>
        <v>995575</v>
      </c>
      <c r="BY117" s="352"/>
      <c r="BZ117" s="352">
        <f>SUM(BZ93:BZ116)</f>
        <v>971544</v>
      </c>
      <c r="CA117" s="352">
        <f t="shared" si="100"/>
        <v>22578</v>
      </c>
      <c r="CB117" s="339">
        <f>CA117/BE117</f>
        <v>2.3792211733613216E-2</v>
      </c>
      <c r="CC117" s="352">
        <f>SUM(CC93:CC116)</f>
        <v>1036611</v>
      </c>
      <c r="CD117" s="352">
        <f>SUM(CD93:CD116)</f>
        <v>1035064</v>
      </c>
      <c r="CE117" s="352">
        <f>SUM(CE93:CE116)</f>
        <v>1230</v>
      </c>
      <c r="CF117" s="600">
        <f>CD117+CE117</f>
        <v>1036294</v>
      </c>
      <c r="CG117" s="368">
        <f t="shared" si="124"/>
        <v>64750</v>
      </c>
      <c r="CH117" s="601">
        <f t="shared" si="125"/>
        <v>6.6646492593233034E-2</v>
      </c>
      <c r="CI117" s="368">
        <f t="shared" ref="CI117" si="145">SUM(CI93:CI116)</f>
        <v>1060065</v>
      </c>
      <c r="CJ117" s="368"/>
      <c r="CK117" s="368">
        <f>SUM(CK93:CK116)</f>
        <v>1060065</v>
      </c>
      <c r="CL117" s="368">
        <f t="shared" si="95"/>
        <v>23771</v>
      </c>
      <c r="CM117" s="616">
        <f t="shared" si="127"/>
        <v>2.2938471128849534E-2</v>
      </c>
      <c r="CN117" s="358">
        <f>SUM(CN93:CN116)</f>
        <v>1145178</v>
      </c>
      <c r="CO117" s="368">
        <f t="shared" si="96"/>
        <v>85113</v>
      </c>
      <c r="CP117" s="356">
        <f t="shared" si="97"/>
        <v>8.0290359553423604E-2</v>
      </c>
    </row>
    <row r="118" spans="1:246" s="65" customFormat="1" ht="18" customHeight="1" x14ac:dyDescent="0.25">
      <c r="A118" s="363"/>
      <c r="D118" s="416"/>
      <c r="E118" s="563"/>
      <c r="G118" s="204"/>
      <c r="H118" s="199"/>
      <c r="J118" s="204"/>
      <c r="K118" s="199"/>
      <c r="L118" s="358"/>
      <c r="M118" s="358"/>
      <c r="N118" s="356"/>
      <c r="O118" s="358"/>
      <c r="P118" s="358"/>
      <c r="Q118" s="356"/>
      <c r="R118" s="358"/>
      <c r="S118" s="358"/>
      <c r="T118" s="356"/>
      <c r="U118" s="358"/>
      <c r="V118" s="338"/>
      <c r="W118" s="624"/>
      <c r="X118" s="364"/>
      <c r="Y118" s="358"/>
      <c r="Z118" s="605"/>
      <c r="AA118" s="358"/>
      <c r="AB118" s="366"/>
      <c r="AC118" s="367"/>
      <c r="AD118" s="358"/>
      <c r="AE118" s="358"/>
      <c r="AF118" s="358"/>
      <c r="AG118" s="204"/>
      <c r="AH118" s="304"/>
      <c r="AI118" s="358"/>
      <c r="AJ118" s="358"/>
      <c r="AK118" s="358"/>
      <c r="AL118" s="358"/>
      <c r="AM118" s="204"/>
      <c r="AN118" s="204"/>
      <c r="AT118" s="200"/>
      <c r="AU118" s="205"/>
      <c r="AV118" s="200"/>
      <c r="AW118" s="205"/>
      <c r="AX118" s="358"/>
      <c r="AY118" s="204"/>
      <c r="AZ118" s="304"/>
      <c r="BA118" s="304"/>
      <c r="BB118" s="304"/>
      <c r="BC118" s="304"/>
      <c r="BD118" s="304"/>
      <c r="BE118" s="358"/>
      <c r="BF118" s="204"/>
      <c r="BG118" s="304"/>
      <c r="BH118" s="200"/>
      <c r="BI118" s="200"/>
      <c r="BJ118" s="200"/>
      <c r="BK118" s="200"/>
      <c r="BL118" s="206"/>
      <c r="BM118" s="206"/>
      <c r="BN118" s="206">
        <f>+BN117-920</f>
        <v>993301</v>
      </c>
      <c r="BO118" s="206">
        <f>BO117-920</f>
        <v>983510</v>
      </c>
      <c r="BP118" s="206">
        <f t="shared" si="98"/>
        <v>983510</v>
      </c>
      <c r="BQ118" s="199"/>
      <c r="BR118" s="205" t="e">
        <f t="shared" si="99"/>
        <v>#DIV/0!</v>
      </c>
      <c r="BS118" s="368"/>
      <c r="BW118" s="207">
        <f t="shared" ref="BW118:BW126" si="146">BN118+BS118+BT118+BU118+BV118</f>
        <v>993301</v>
      </c>
      <c r="BX118" s="206"/>
      <c r="BY118" s="206"/>
      <c r="BZ118" s="206"/>
      <c r="CA118" s="206"/>
      <c r="CB118" s="199"/>
      <c r="CC118" s="368"/>
      <c r="CD118" s="368"/>
      <c r="CE118" s="368"/>
      <c r="CF118" s="368"/>
      <c r="CG118" s="206"/>
      <c r="CH118" s="356"/>
      <c r="CL118" s="206"/>
      <c r="CM118" s="356"/>
      <c r="CO118" s="206"/>
      <c r="CP118" s="206"/>
    </row>
    <row r="119" spans="1:246" s="65" customFormat="1" ht="18" customHeight="1" x14ac:dyDescent="0.25">
      <c r="A119" s="373" t="s">
        <v>230</v>
      </c>
      <c r="D119" s="416"/>
      <c r="E119" s="563"/>
      <c r="G119" s="204"/>
      <c r="H119" s="199"/>
      <c r="J119" s="204"/>
      <c r="K119" s="199"/>
      <c r="L119" s="358"/>
      <c r="M119" s="358"/>
      <c r="N119" s="356"/>
      <c r="O119" s="358"/>
      <c r="P119" s="358"/>
      <c r="Q119" s="356"/>
      <c r="R119" s="358"/>
      <c r="S119" s="358"/>
      <c r="T119" s="356"/>
      <c r="U119" s="358"/>
      <c r="V119" s="338"/>
      <c r="W119" s="624"/>
      <c r="X119" s="364"/>
      <c r="Y119" s="358"/>
      <c r="Z119" s="605"/>
      <c r="AA119" s="358"/>
      <c r="AB119" s="366"/>
      <c r="AC119" s="367"/>
      <c r="AD119" s="358"/>
      <c r="AE119" s="358"/>
      <c r="AF119" s="358"/>
      <c r="AG119" s="204"/>
      <c r="AH119" s="304"/>
      <c r="AI119" s="358"/>
      <c r="AJ119" s="358"/>
      <c r="AK119" s="358"/>
      <c r="AL119" s="358"/>
      <c r="AM119" s="204"/>
      <c r="AN119" s="204"/>
      <c r="AT119" s="200"/>
      <c r="AU119" s="205"/>
      <c r="AV119" s="200">
        <f>AS119-AF117</f>
        <v>-1006117</v>
      </c>
      <c r="AW119" s="205">
        <f>AV119/AF117</f>
        <v>-1</v>
      </c>
      <c r="AX119" s="358"/>
      <c r="AY119" s="204"/>
      <c r="AZ119" s="304"/>
      <c r="BA119" s="304"/>
      <c r="BB119" s="304"/>
      <c r="BC119" s="304"/>
      <c r="BD119" s="304"/>
      <c r="BE119" s="358"/>
      <c r="BF119" s="204"/>
      <c r="BG119" s="304"/>
      <c r="BH119" s="200"/>
      <c r="BI119" s="200"/>
      <c r="BJ119" s="200"/>
      <c r="BK119" s="200"/>
      <c r="BL119" s="206"/>
      <c r="BM119" s="206"/>
      <c r="BN119" s="206">
        <f>+BN117-920</f>
        <v>993301</v>
      </c>
      <c r="BO119" s="206">
        <f>BO117-920</f>
        <v>983510</v>
      </c>
      <c r="BP119" s="206">
        <f t="shared" si="98"/>
        <v>983510</v>
      </c>
      <c r="BQ119" s="199"/>
      <c r="BR119" s="205" t="e">
        <f t="shared" si="99"/>
        <v>#DIV/0!</v>
      </c>
      <c r="BS119" s="368"/>
      <c r="BW119" s="207">
        <f t="shared" si="146"/>
        <v>993301</v>
      </c>
      <c r="BX119" s="206"/>
      <c r="BY119" s="206"/>
      <c r="BZ119" s="206"/>
      <c r="CA119" s="206"/>
      <c r="CB119" s="199"/>
      <c r="CC119" s="368"/>
      <c r="CD119" s="368"/>
      <c r="CE119" s="368"/>
      <c r="CF119" s="368"/>
      <c r="CG119" s="206"/>
      <c r="CH119" s="356"/>
      <c r="CL119" s="206"/>
      <c r="CM119" s="356"/>
      <c r="CO119" s="206"/>
      <c r="CP119" s="206"/>
    </row>
    <row r="120" spans="1:246" s="65" customFormat="1" ht="18" customHeight="1" x14ac:dyDescent="0.25">
      <c r="A120" s="373" t="s">
        <v>232</v>
      </c>
      <c r="D120" s="416"/>
      <c r="E120" s="563"/>
      <c r="G120" s="204"/>
      <c r="H120" s="199"/>
      <c r="J120" s="204"/>
      <c r="K120" s="199"/>
      <c r="L120" s="358"/>
      <c r="M120" s="358"/>
      <c r="N120" s="356"/>
      <c r="O120" s="358"/>
      <c r="P120" s="358"/>
      <c r="Q120" s="356"/>
      <c r="R120" s="358"/>
      <c r="S120" s="204"/>
      <c r="T120" s="304"/>
      <c r="U120" s="204"/>
      <c r="V120" s="204"/>
      <c r="W120" s="304"/>
      <c r="X120" s="403"/>
      <c r="Y120" s="404"/>
      <c r="Z120" s="605"/>
      <c r="AA120" s="203"/>
      <c r="AB120" s="374"/>
      <c r="AC120" s="367"/>
      <c r="AF120" s="358"/>
      <c r="AG120" s="358"/>
      <c r="AX120" s="358"/>
      <c r="AY120" s="204"/>
      <c r="AZ120" s="304"/>
      <c r="BA120" s="304"/>
      <c r="BB120" s="304"/>
      <c r="BC120" s="304"/>
      <c r="BD120" s="304"/>
      <c r="BE120" s="358"/>
      <c r="BF120" s="204"/>
      <c r="BG120" s="304"/>
      <c r="BH120" s="200"/>
      <c r="BI120" s="200"/>
      <c r="BJ120" s="200"/>
      <c r="BK120" s="200"/>
      <c r="BL120" s="206"/>
      <c r="BM120" s="206"/>
      <c r="BN120" s="206"/>
      <c r="BO120" s="206"/>
      <c r="BP120" s="206">
        <f t="shared" si="98"/>
        <v>0</v>
      </c>
      <c r="BQ120" s="199"/>
      <c r="BR120" s="205" t="e">
        <f t="shared" si="99"/>
        <v>#DIV/0!</v>
      </c>
      <c r="BS120" s="368"/>
      <c r="BW120" s="207">
        <f t="shared" si="146"/>
        <v>0</v>
      </c>
      <c r="BX120" s="206"/>
      <c r="BY120" s="206"/>
      <c r="BZ120" s="206"/>
      <c r="CA120" s="206"/>
      <c r="CB120" s="199"/>
      <c r="CC120" s="368"/>
      <c r="CD120" s="368"/>
      <c r="CE120" s="368"/>
      <c r="CF120" s="368"/>
      <c r="CG120" s="206"/>
      <c r="CH120" s="356"/>
      <c r="CL120" s="206"/>
      <c r="CM120" s="356"/>
      <c r="CO120" s="206"/>
      <c r="CP120" s="206"/>
    </row>
    <row r="121" spans="1:246" s="65" customFormat="1" ht="18" customHeight="1" x14ac:dyDescent="0.25">
      <c r="A121" s="373" t="s">
        <v>233</v>
      </c>
      <c r="D121" s="416"/>
      <c r="E121" s="563"/>
      <c r="G121" s="204"/>
      <c r="H121" s="199"/>
      <c r="J121" s="204"/>
      <c r="K121" s="199"/>
      <c r="L121" s="358"/>
      <c r="M121" s="358"/>
      <c r="N121" s="356"/>
      <c r="O121" s="358"/>
      <c r="P121" s="358"/>
      <c r="Q121" s="356"/>
      <c r="R121" s="358"/>
      <c r="S121" s="204"/>
      <c r="T121" s="304"/>
      <c r="U121" s="204"/>
      <c r="V121" s="204"/>
      <c r="W121" s="304"/>
      <c r="X121" s="403"/>
      <c r="Y121" s="404"/>
      <c r="Z121" s="605"/>
      <c r="AA121" s="203"/>
      <c r="AB121" s="374"/>
      <c r="AC121" s="367"/>
      <c r="AF121" s="358"/>
      <c r="AG121" s="358"/>
      <c r="AV121" s="65" t="s">
        <v>231</v>
      </c>
      <c r="AX121" s="358"/>
      <c r="AY121" s="204"/>
      <c r="AZ121" s="304"/>
      <c r="BA121" s="304"/>
      <c r="BB121" s="304"/>
      <c r="BC121" s="304"/>
      <c r="BD121" s="304"/>
      <c r="BE121" s="358"/>
      <c r="BF121" s="204"/>
      <c r="BG121" s="304"/>
      <c r="BH121" s="200"/>
      <c r="BI121" s="200"/>
      <c r="BJ121" s="200"/>
      <c r="BK121" s="200"/>
      <c r="BL121" s="206"/>
      <c r="BM121" s="206"/>
      <c r="BN121" s="206"/>
      <c r="BO121" s="206"/>
      <c r="BP121" s="206">
        <f t="shared" si="98"/>
        <v>0</v>
      </c>
      <c r="BQ121" s="199"/>
      <c r="BR121" s="205" t="e">
        <f t="shared" si="99"/>
        <v>#DIV/0!</v>
      </c>
      <c r="BS121" s="368"/>
      <c r="BW121" s="207">
        <f t="shared" si="146"/>
        <v>0</v>
      </c>
      <c r="BX121" s="206"/>
      <c r="BY121" s="206"/>
      <c r="BZ121" s="206"/>
      <c r="CA121" s="206"/>
      <c r="CB121" s="199"/>
      <c r="CC121" s="368"/>
      <c r="CD121" s="368"/>
      <c r="CE121" s="368"/>
      <c r="CF121" s="368"/>
      <c r="CG121" s="206"/>
      <c r="CH121" s="356"/>
      <c r="CL121" s="206"/>
      <c r="CM121" s="356"/>
      <c r="CO121" s="206"/>
      <c r="CP121" s="206"/>
    </row>
    <row r="122" spans="1:246" s="65" customFormat="1" ht="18" customHeight="1" x14ac:dyDescent="0.25">
      <c r="A122" s="373" t="s">
        <v>234</v>
      </c>
      <c r="D122" s="416"/>
      <c r="E122" s="563"/>
      <c r="G122" s="204"/>
      <c r="H122" s="199"/>
      <c r="J122" s="204"/>
      <c r="K122" s="199"/>
      <c r="L122" s="358"/>
      <c r="M122" s="358"/>
      <c r="N122" s="356"/>
      <c r="O122" s="358"/>
      <c r="P122" s="358"/>
      <c r="Q122" s="356"/>
      <c r="R122" s="358"/>
      <c r="S122" s="204"/>
      <c r="T122" s="304"/>
      <c r="U122" s="204"/>
      <c r="V122" s="204"/>
      <c r="W122" s="304"/>
      <c r="X122" s="403"/>
      <c r="Y122" s="404"/>
      <c r="Z122" s="605"/>
      <c r="AA122" s="203"/>
      <c r="AB122" s="374"/>
      <c r="AC122" s="367"/>
      <c r="AF122" s="358"/>
      <c r="AG122" s="358"/>
      <c r="AX122" s="358"/>
      <c r="AY122" s="204"/>
      <c r="AZ122" s="304"/>
      <c r="BA122" s="304"/>
      <c r="BB122" s="304"/>
      <c r="BC122" s="304"/>
      <c r="BD122" s="304"/>
      <c r="BE122" s="358"/>
      <c r="BF122" s="204"/>
      <c r="BG122" s="304"/>
      <c r="BH122" s="200"/>
      <c r="BI122" s="200"/>
      <c r="BJ122" s="200"/>
      <c r="BK122" s="200"/>
      <c r="BL122" s="206"/>
      <c r="BM122" s="206"/>
      <c r="BN122" s="206"/>
      <c r="BO122" s="206"/>
      <c r="BP122" s="206">
        <f t="shared" si="98"/>
        <v>0</v>
      </c>
      <c r="BQ122" s="199"/>
      <c r="BR122" s="205" t="e">
        <f t="shared" si="99"/>
        <v>#DIV/0!</v>
      </c>
      <c r="BS122" s="368"/>
      <c r="BW122" s="207">
        <f t="shared" si="146"/>
        <v>0</v>
      </c>
      <c r="BX122" s="206"/>
      <c r="BY122" s="206"/>
      <c r="BZ122" s="206"/>
      <c r="CA122" s="206"/>
      <c r="CB122" s="199"/>
      <c r="CC122" s="368"/>
      <c r="CD122" s="368"/>
      <c r="CE122" s="368"/>
      <c r="CF122" s="368"/>
      <c r="CG122" s="206"/>
      <c r="CH122" s="356"/>
      <c r="CL122" s="206"/>
      <c r="CM122" s="356"/>
      <c r="CO122" s="206"/>
      <c r="CP122" s="206"/>
    </row>
    <row r="123" spans="1:246" s="65" customFormat="1" ht="18" customHeight="1" x14ac:dyDescent="0.25">
      <c r="A123" s="373" t="s">
        <v>235</v>
      </c>
      <c r="D123" s="416"/>
      <c r="E123" s="563"/>
      <c r="G123" s="204"/>
      <c r="H123" s="199"/>
      <c r="J123" s="204"/>
      <c r="K123" s="199"/>
      <c r="L123" s="358"/>
      <c r="M123" s="358"/>
      <c r="N123" s="356"/>
      <c r="O123" s="358"/>
      <c r="P123" s="358"/>
      <c r="Q123" s="356"/>
      <c r="R123" s="358"/>
      <c r="S123" s="204"/>
      <c r="T123" s="304"/>
      <c r="U123" s="204"/>
      <c r="V123" s="204"/>
      <c r="W123" s="304"/>
      <c r="X123" s="403"/>
      <c r="Y123" s="404"/>
      <c r="Z123" s="605"/>
      <c r="AA123" s="203"/>
      <c r="AB123" s="374"/>
      <c r="AC123" s="367"/>
      <c r="AF123" s="358"/>
      <c r="AG123" s="358"/>
      <c r="AV123" s="358"/>
      <c r="AW123" s="356"/>
      <c r="AX123" s="358"/>
      <c r="AY123" s="204"/>
      <c r="AZ123" s="304"/>
      <c r="BA123" s="304"/>
      <c r="BB123" s="304"/>
      <c r="BC123" s="304"/>
      <c r="BD123" s="304"/>
      <c r="BE123" s="358"/>
      <c r="BF123" s="204"/>
      <c r="BG123" s="304"/>
      <c r="BH123" s="200"/>
      <c r="BI123" s="200"/>
      <c r="BJ123" s="200"/>
      <c r="BK123" s="200"/>
      <c r="BL123" s="206"/>
      <c r="BM123" s="206"/>
      <c r="BN123" s="206"/>
      <c r="BO123" s="206"/>
      <c r="BP123" s="206">
        <f t="shared" si="98"/>
        <v>0</v>
      </c>
      <c r="BQ123" s="199"/>
      <c r="BR123" s="205" t="e">
        <f t="shared" si="99"/>
        <v>#DIV/0!</v>
      </c>
      <c r="BS123" s="368"/>
      <c r="BW123" s="207">
        <f t="shared" si="146"/>
        <v>0</v>
      </c>
      <c r="BX123" s="206"/>
      <c r="BY123" s="206"/>
      <c r="BZ123" s="206"/>
      <c r="CA123" s="206"/>
      <c r="CB123" s="199"/>
      <c r="CC123" s="368"/>
      <c r="CD123" s="368"/>
      <c r="CE123" s="368"/>
      <c r="CF123" s="368"/>
      <c r="CG123" s="206"/>
      <c r="CH123" s="356"/>
      <c r="CL123" s="206"/>
      <c r="CM123" s="356"/>
      <c r="CO123" s="206"/>
      <c r="CP123" s="206"/>
    </row>
    <row r="124" spans="1:246" s="65" customFormat="1" ht="18" customHeight="1" x14ac:dyDescent="0.25">
      <c r="A124" s="414" t="s">
        <v>236</v>
      </c>
      <c r="D124" s="416"/>
      <c r="E124" s="563"/>
      <c r="G124" s="204"/>
      <c r="H124" s="199"/>
      <c r="J124" s="204"/>
      <c r="K124" s="199"/>
      <c r="L124" s="66"/>
      <c r="M124" s="66"/>
      <c r="N124" s="66"/>
      <c r="O124" s="66"/>
      <c r="P124" s="66"/>
      <c r="Q124" s="66"/>
      <c r="R124" s="66"/>
      <c r="S124" s="66"/>
      <c r="T124" s="66"/>
      <c r="U124" s="66"/>
      <c r="V124" s="66"/>
      <c r="W124" s="66"/>
      <c r="X124" s="201"/>
      <c r="Y124" s="202"/>
      <c r="Z124" s="484"/>
      <c r="AA124" s="203"/>
      <c r="AB124" s="374"/>
      <c r="AC124" s="367"/>
      <c r="AD124" s="66"/>
      <c r="AE124" s="66"/>
      <c r="AF124" s="204"/>
      <c r="AG124" s="204"/>
      <c r="AH124" s="66"/>
      <c r="AI124" s="66"/>
      <c r="AJ124" s="66"/>
      <c r="AK124" s="66"/>
      <c r="AL124" s="66"/>
      <c r="AM124" s="66"/>
      <c r="AN124" s="66"/>
      <c r="AO124" s="66"/>
      <c r="AP124" s="66"/>
      <c r="AQ124" s="66"/>
      <c r="AR124" s="66"/>
      <c r="AS124" s="66"/>
      <c r="AT124" s="66"/>
      <c r="AU124" s="66"/>
      <c r="AV124" s="66"/>
      <c r="AW124" s="66"/>
      <c r="AX124" s="204"/>
      <c r="AY124" s="204"/>
      <c r="AZ124" s="304"/>
      <c r="BA124" s="304"/>
      <c r="BB124" s="304"/>
      <c r="BC124" s="304"/>
      <c r="BD124" s="304"/>
      <c r="BE124" s="204"/>
      <c r="BF124" s="204"/>
      <c r="BG124" s="304"/>
      <c r="BH124" s="200"/>
      <c r="BI124" s="200"/>
      <c r="BJ124" s="200"/>
      <c r="BK124" s="200"/>
      <c r="BL124" s="206"/>
      <c r="BM124" s="206"/>
      <c r="BN124" s="206"/>
      <c r="BO124" s="206"/>
      <c r="BP124" s="206">
        <f t="shared" si="98"/>
        <v>0</v>
      </c>
      <c r="BQ124" s="199"/>
      <c r="BR124" s="205" t="e">
        <f t="shared" si="99"/>
        <v>#DIV/0!</v>
      </c>
      <c r="BS124" s="206"/>
      <c r="BT124" s="66"/>
      <c r="BU124" s="66"/>
      <c r="BV124" s="66"/>
      <c r="BW124" s="207">
        <f t="shared" si="146"/>
        <v>0</v>
      </c>
      <c r="BX124" s="206"/>
      <c r="BY124" s="206"/>
      <c r="BZ124" s="206"/>
      <c r="CA124" s="206"/>
      <c r="CB124" s="199"/>
      <c r="CC124" s="206"/>
      <c r="CD124" s="206"/>
      <c r="CE124" s="206"/>
      <c r="CF124" s="206"/>
      <c r="CG124" s="206"/>
      <c r="CH124" s="304"/>
      <c r="CI124" s="66"/>
      <c r="CJ124" s="66"/>
      <c r="CK124" s="66"/>
      <c r="CL124" s="206"/>
      <c r="CM124" s="304"/>
      <c r="CN124" s="66"/>
      <c r="CO124" s="206"/>
      <c r="CP124" s="206"/>
      <c r="CQ124" s="66"/>
      <c r="CR124" s="66"/>
      <c r="CS124" s="66"/>
      <c r="CT124" s="66"/>
      <c r="CU124" s="66"/>
      <c r="CV124" s="66"/>
      <c r="CW124" s="66"/>
      <c r="CX124" s="66"/>
      <c r="CY124" s="66"/>
      <c r="CZ124" s="66"/>
      <c r="DA124" s="66"/>
      <c r="DB124" s="66"/>
      <c r="DC124" s="66"/>
      <c r="DD124" s="66"/>
      <c r="DE124" s="66"/>
      <c r="DF124" s="66"/>
      <c r="DG124" s="66"/>
      <c r="DH124" s="66"/>
      <c r="DI124" s="66"/>
      <c r="DJ124" s="66"/>
      <c r="DK124" s="66"/>
      <c r="DL124" s="66"/>
      <c r="DM124" s="66"/>
      <c r="DN124" s="66"/>
      <c r="DO124" s="66"/>
      <c r="DP124" s="66"/>
      <c r="DQ124" s="66"/>
      <c r="DR124" s="66"/>
      <c r="DS124" s="66"/>
      <c r="DT124" s="66"/>
      <c r="DU124" s="66"/>
      <c r="DV124" s="66"/>
      <c r="DW124" s="66"/>
      <c r="DX124" s="66"/>
      <c r="DY124" s="66"/>
      <c r="DZ124" s="66"/>
      <c r="EA124" s="66"/>
      <c r="EB124" s="66"/>
      <c r="EC124" s="66"/>
      <c r="ED124" s="66"/>
      <c r="EE124" s="66"/>
      <c r="EF124" s="66"/>
      <c r="EG124" s="66"/>
      <c r="EH124" s="66"/>
      <c r="EI124" s="66"/>
      <c r="EJ124" s="66"/>
      <c r="EK124" s="66"/>
      <c r="EL124" s="66"/>
      <c r="EM124" s="66"/>
      <c r="EN124" s="66"/>
      <c r="EO124" s="66"/>
      <c r="EP124" s="66"/>
      <c r="EQ124" s="66"/>
      <c r="ER124" s="66"/>
      <c r="ES124" s="66"/>
      <c r="ET124" s="66"/>
      <c r="EU124" s="66"/>
      <c r="EV124" s="66"/>
      <c r="EW124" s="66"/>
      <c r="EX124" s="66"/>
      <c r="EY124" s="66"/>
      <c r="EZ124" s="66"/>
      <c r="FA124" s="66"/>
      <c r="FB124" s="66"/>
      <c r="FC124" s="66"/>
      <c r="FD124" s="66"/>
      <c r="FE124" s="66"/>
      <c r="FF124" s="66"/>
      <c r="FG124" s="66"/>
      <c r="FH124" s="66"/>
      <c r="FI124" s="66"/>
      <c r="FJ124" s="66"/>
      <c r="FK124" s="66"/>
      <c r="FL124" s="66"/>
      <c r="FM124" s="66"/>
      <c r="FN124" s="66"/>
      <c r="FO124" s="66"/>
      <c r="FP124" s="66"/>
      <c r="FQ124" s="66"/>
      <c r="FR124" s="66"/>
      <c r="FS124" s="66"/>
      <c r="FT124" s="66"/>
      <c r="FU124" s="66"/>
      <c r="FV124" s="66"/>
      <c r="FW124" s="66"/>
      <c r="FX124" s="66"/>
      <c r="FY124" s="66"/>
      <c r="FZ124" s="66"/>
      <c r="GA124" s="66"/>
      <c r="GB124" s="66"/>
      <c r="GC124" s="66"/>
      <c r="GD124" s="66"/>
      <c r="GE124" s="66"/>
      <c r="GF124" s="66"/>
      <c r="GG124" s="66"/>
      <c r="GH124" s="66"/>
      <c r="GI124" s="66"/>
      <c r="GJ124" s="66"/>
      <c r="GK124" s="66"/>
      <c r="GL124" s="66"/>
      <c r="GM124" s="66"/>
      <c r="GN124" s="66"/>
      <c r="GO124" s="66"/>
      <c r="GP124" s="66"/>
      <c r="GQ124" s="66"/>
      <c r="GR124" s="66"/>
      <c r="GS124" s="66"/>
      <c r="GT124" s="66"/>
      <c r="GU124" s="66"/>
      <c r="GV124" s="66"/>
      <c r="GW124" s="66"/>
      <c r="GX124" s="66"/>
      <c r="GY124" s="66"/>
      <c r="GZ124" s="66"/>
      <c r="HA124" s="66"/>
      <c r="HB124" s="66"/>
      <c r="HC124" s="66"/>
      <c r="HD124" s="66"/>
      <c r="HE124" s="66"/>
      <c r="HF124" s="66"/>
      <c r="HG124" s="66"/>
      <c r="HH124" s="66"/>
      <c r="HI124" s="66"/>
      <c r="HJ124" s="66"/>
      <c r="HK124" s="66"/>
      <c r="HL124" s="66"/>
      <c r="HM124" s="66"/>
      <c r="HN124" s="66"/>
      <c r="HO124" s="66"/>
      <c r="HP124" s="66"/>
      <c r="HQ124" s="66"/>
      <c r="HR124" s="66"/>
      <c r="HS124" s="66"/>
      <c r="HT124" s="66"/>
      <c r="HU124" s="66"/>
      <c r="HV124" s="66"/>
      <c r="HW124" s="66"/>
      <c r="HX124" s="66"/>
      <c r="HY124" s="66"/>
      <c r="HZ124" s="66"/>
      <c r="IA124" s="66"/>
      <c r="IB124" s="66"/>
      <c r="IC124" s="66"/>
      <c r="ID124" s="66"/>
      <c r="IE124" s="66"/>
      <c r="IF124" s="66"/>
      <c r="IG124" s="66"/>
      <c r="IH124" s="66"/>
      <c r="II124" s="66"/>
      <c r="IJ124" s="66"/>
      <c r="IK124" s="66"/>
      <c r="IL124" s="66"/>
    </row>
    <row r="125" spans="1:246" s="65" customFormat="1" ht="18" customHeight="1" x14ac:dyDescent="0.25">
      <c r="A125" s="414" t="s">
        <v>510</v>
      </c>
      <c r="D125" s="416"/>
      <c r="E125" s="563"/>
      <c r="G125" s="204"/>
      <c r="H125" s="199"/>
      <c r="J125" s="204"/>
      <c r="K125" s="199"/>
      <c r="L125" s="66"/>
      <c r="M125" s="66"/>
      <c r="N125" s="66"/>
      <c r="O125" s="66"/>
      <c r="P125" s="66"/>
      <c r="Q125" s="66"/>
      <c r="R125" s="66"/>
      <c r="S125" s="66"/>
      <c r="T125" s="66"/>
      <c r="U125" s="66"/>
      <c r="V125" s="66"/>
      <c r="W125" s="66"/>
      <c r="X125" s="201"/>
      <c r="Y125" s="202"/>
      <c r="Z125" s="484"/>
      <c r="AA125" s="203"/>
      <c r="AB125" s="374"/>
      <c r="AC125" s="367"/>
      <c r="AD125" s="66"/>
      <c r="AE125" s="66"/>
      <c r="AF125" s="204"/>
      <c r="AG125" s="204"/>
      <c r="AH125" s="66"/>
      <c r="AI125" s="66"/>
      <c r="AJ125" s="66"/>
      <c r="AK125" s="66"/>
      <c r="AL125" s="66"/>
      <c r="AM125" s="66"/>
      <c r="AN125" s="66"/>
      <c r="AO125" s="66"/>
      <c r="AP125" s="66"/>
      <c r="AQ125" s="66"/>
      <c r="AR125" s="66"/>
      <c r="AS125" s="66"/>
      <c r="AT125" s="66"/>
      <c r="AU125" s="66"/>
      <c r="AV125" s="66"/>
      <c r="AW125" s="66"/>
      <c r="AX125" s="204"/>
      <c r="AY125" s="204"/>
      <c r="AZ125" s="304"/>
      <c r="BA125" s="304"/>
      <c r="BB125" s="304"/>
      <c r="BC125" s="304"/>
      <c r="BD125" s="304"/>
      <c r="BE125" s="204"/>
      <c r="BF125" s="204"/>
      <c r="BG125" s="304"/>
      <c r="BH125" s="200"/>
      <c r="BI125" s="200"/>
      <c r="BJ125" s="200"/>
      <c r="BK125" s="200"/>
      <c r="BL125" s="206"/>
      <c r="BM125" s="206"/>
      <c r="BN125" s="206"/>
      <c r="BO125" s="206"/>
      <c r="BP125" s="206">
        <f t="shared" si="98"/>
        <v>0</v>
      </c>
      <c r="BQ125" s="199"/>
      <c r="BR125" s="205" t="e">
        <f t="shared" si="99"/>
        <v>#DIV/0!</v>
      </c>
      <c r="BS125" s="206"/>
      <c r="BT125" s="66"/>
      <c r="BU125" s="66"/>
      <c r="BV125" s="66"/>
      <c r="BW125" s="207">
        <f t="shared" si="146"/>
        <v>0</v>
      </c>
      <c r="BX125" s="206"/>
      <c r="BY125" s="206"/>
      <c r="BZ125" s="206"/>
      <c r="CA125" s="206"/>
      <c r="CB125" s="199"/>
      <c r="CC125" s="206"/>
      <c r="CD125" s="206"/>
      <c r="CE125" s="206"/>
      <c r="CF125" s="206"/>
      <c r="CG125" s="206"/>
      <c r="CH125" s="304"/>
      <c r="CI125" s="66"/>
      <c r="CJ125" s="66"/>
      <c r="CK125" s="66"/>
      <c r="CL125" s="206"/>
      <c r="CM125" s="304"/>
      <c r="CN125" s="66"/>
      <c r="CO125" s="206"/>
      <c r="CP125" s="206"/>
      <c r="CQ125" s="66"/>
      <c r="CR125" s="66"/>
      <c r="CS125" s="66"/>
      <c r="CT125" s="66"/>
      <c r="CU125" s="66"/>
      <c r="CV125" s="66"/>
      <c r="CW125" s="66"/>
      <c r="CX125" s="66"/>
      <c r="CY125" s="66"/>
      <c r="CZ125" s="66"/>
      <c r="DA125" s="66"/>
      <c r="DB125" s="66"/>
      <c r="DC125" s="66"/>
      <c r="DD125" s="66"/>
      <c r="DE125" s="66"/>
      <c r="DF125" s="66"/>
      <c r="DG125" s="66"/>
      <c r="DH125" s="66"/>
      <c r="DI125" s="66"/>
      <c r="DJ125" s="66"/>
      <c r="DK125" s="66"/>
      <c r="DL125" s="66"/>
      <c r="DM125" s="66"/>
      <c r="DN125" s="66"/>
      <c r="DO125" s="66"/>
      <c r="DP125" s="66"/>
      <c r="DQ125" s="66"/>
      <c r="DR125" s="66"/>
      <c r="DS125" s="66"/>
      <c r="DT125" s="66"/>
      <c r="DU125" s="66"/>
      <c r="DV125" s="66"/>
      <c r="DW125" s="66"/>
      <c r="DX125" s="66"/>
      <c r="DY125" s="66"/>
      <c r="DZ125" s="66"/>
      <c r="EA125" s="66"/>
      <c r="EB125" s="66"/>
      <c r="EC125" s="66"/>
      <c r="ED125" s="66"/>
      <c r="EE125" s="66"/>
      <c r="EF125" s="66"/>
      <c r="EG125" s="66"/>
      <c r="EH125" s="66"/>
      <c r="EI125" s="66"/>
      <c r="EJ125" s="66"/>
      <c r="EK125" s="66"/>
      <c r="EL125" s="66"/>
      <c r="EM125" s="66"/>
      <c r="EN125" s="66"/>
      <c r="EO125" s="66"/>
      <c r="EP125" s="66"/>
      <c r="EQ125" s="66"/>
      <c r="ER125" s="66"/>
      <c r="ES125" s="66"/>
      <c r="ET125" s="66"/>
      <c r="EU125" s="66"/>
      <c r="EV125" s="66"/>
      <c r="EW125" s="66"/>
      <c r="EX125" s="66"/>
      <c r="EY125" s="66"/>
      <c r="EZ125" s="66"/>
      <c r="FA125" s="66"/>
      <c r="FB125" s="66"/>
      <c r="FC125" s="66"/>
      <c r="FD125" s="66"/>
      <c r="FE125" s="66"/>
      <c r="FF125" s="66"/>
      <c r="FG125" s="66"/>
      <c r="FH125" s="66"/>
      <c r="FI125" s="66"/>
      <c r="FJ125" s="66"/>
      <c r="FK125" s="66"/>
      <c r="FL125" s="66"/>
      <c r="FM125" s="66"/>
      <c r="FN125" s="66"/>
      <c r="FO125" s="66"/>
      <c r="FP125" s="66"/>
      <c r="FQ125" s="66"/>
      <c r="FR125" s="66"/>
      <c r="FS125" s="66"/>
      <c r="FT125" s="66"/>
      <c r="FU125" s="66"/>
      <c r="FV125" s="66"/>
      <c r="FW125" s="66"/>
      <c r="FX125" s="66"/>
      <c r="FY125" s="66"/>
      <c r="FZ125" s="66"/>
      <c r="GA125" s="66"/>
      <c r="GB125" s="66"/>
      <c r="GC125" s="66"/>
      <c r="GD125" s="66"/>
      <c r="GE125" s="66"/>
      <c r="GF125" s="66"/>
      <c r="GG125" s="66"/>
      <c r="GH125" s="66"/>
      <c r="GI125" s="66"/>
      <c r="GJ125" s="66"/>
      <c r="GK125" s="66"/>
      <c r="GL125" s="66"/>
      <c r="GM125" s="66"/>
      <c r="GN125" s="66"/>
      <c r="GO125" s="66"/>
      <c r="GP125" s="66"/>
      <c r="GQ125" s="66"/>
      <c r="GR125" s="66"/>
      <c r="GS125" s="66"/>
      <c r="GT125" s="66"/>
      <c r="GU125" s="66"/>
      <c r="GV125" s="66"/>
      <c r="GW125" s="66"/>
      <c r="GX125" s="66"/>
      <c r="GY125" s="66"/>
      <c r="GZ125" s="66"/>
      <c r="HA125" s="66"/>
      <c r="HB125" s="66"/>
      <c r="HC125" s="66"/>
      <c r="HD125" s="66"/>
      <c r="HE125" s="66"/>
      <c r="HF125" s="66"/>
      <c r="HG125" s="66"/>
      <c r="HH125" s="66"/>
      <c r="HI125" s="66"/>
      <c r="HJ125" s="66"/>
      <c r="HK125" s="66"/>
      <c r="HL125" s="66"/>
      <c r="HM125" s="66"/>
      <c r="HN125" s="66"/>
      <c r="HO125" s="66"/>
      <c r="HP125" s="66"/>
      <c r="HQ125" s="66"/>
      <c r="HR125" s="66"/>
      <c r="HS125" s="66"/>
      <c r="HT125" s="66"/>
      <c r="HU125" s="66"/>
      <c r="HV125" s="66"/>
      <c r="HW125" s="66"/>
      <c r="HX125" s="66"/>
      <c r="HY125" s="66"/>
      <c r="HZ125" s="66"/>
      <c r="IA125" s="66"/>
      <c r="IB125" s="66"/>
      <c r="IC125" s="66"/>
      <c r="ID125" s="66"/>
      <c r="IE125" s="66"/>
      <c r="IF125" s="66"/>
      <c r="IG125" s="66"/>
      <c r="IH125" s="66"/>
      <c r="II125" s="66"/>
      <c r="IJ125" s="66"/>
      <c r="IK125" s="66"/>
      <c r="IL125" s="66"/>
    </row>
    <row r="126" spans="1:246" ht="18" customHeight="1" x14ac:dyDescent="0.25">
      <c r="A126" s="373"/>
      <c r="D126" s="416"/>
      <c r="E126" s="563"/>
      <c r="G126" s="204"/>
      <c r="J126" s="204"/>
      <c r="L126" s="317"/>
      <c r="M126" s="317"/>
      <c r="N126" s="316"/>
      <c r="O126" s="317"/>
      <c r="P126" s="317"/>
      <c r="Q126" s="316"/>
      <c r="R126" s="204"/>
      <c r="S126" s="204"/>
      <c r="T126" s="304"/>
      <c r="U126" s="204"/>
      <c r="V126" s="204"/>
      <c r="W126" s="304"/>
      <c r="AB126" s="374"/>
      <c r="BH126" s="200"/>
      <c r="BI126" s="200"/>
      <c r="BJ126" s="200"/>
      <c r="BK126" s="200"/>
      <c r="BL126" s="206"/>
      <c r="BM126" s="206"/>
      <c r="BN126" s="206"/>
      <c r="BO126" s="206"/>
      <c r="BP126" s="206">
        <f t="shared" si="98"/>
        <v>0</v>
      </c>
      <c r="BQ126" s="199"/>
      <c r="BR126" s="205" t="e">
        <f t="shared" si="99"/>
        <v>#DIV/0!</v>
      </c>
      <c r="BW126" s="207">
        <f t="shared" si="146"/>
        <v>0</v>
      </c>
      <c r="BX126" s="206"/>
      <c r="BY126" s="206"/>
      <c r="BZ126" s="206"/>
      <c r="CA126" s="206"/>
      <c r="CB126" s="199"/>
      <c r="CC126" s="206"/>
      <c r="CD126" s="206"/>
      <c r="CE126" s="206"/>
      <c r="CF126" s="206"/>
      <c r="CG126" s="206"/>
      <c r="CH126" s="304"/>
      <c r="CL126" s="206"/>
      <c r="CM126" s="304"/>
      <c r="CO126" s="206"/>
      <c r="CP126" s="206"/>
    </row>
    <row r="127" spans="1:246" s="289" customFormat="1" ht="18" customHeight="1" x14ac:dyDescent="0.25">
      <c r="A127" s="283" t="s">
        <v>62</v>
      </c>
      <c r="D127" s="375"/>
      <c r="E127" s="376"/>
      <c r="G127" s="287"/>
      <c r="H127" s="288"/>
      <c r="J127" s="287"/>
      <c r="K127" s="288"/>
      <c r="L127" s="285"/>
      <c r="M127" s="285"/>
      <c r="N127" s="377"/>
      <c r="O127" s="285"/>
      <c r="P127" s="285"/>
      <c r="Q127" s="377"/>
      <c r="R127" s="287"/>
      <c r="S127" s="287"/>
      <c r="T127" s="407"/>
      <c r="U127" s="287"/>
      <c r="V127" s="287"/>
      <c r="W127" s="407"/>
      <c r="X127" s="291"/>
      <c r="Y127" s="292"/>
      <c r="Z127" s="559"/>
      <c r="AA127" s="287"/>
      <c r="AB127" s="384"/>
      <c r="AC127" s="295"/>
      <c r="AF127" s="287"/>
      <c r="AG127" s="287"/>
      <c r="AX127" s="287"/>
      <c r="AY127" s="287"/>
      <c r="AZ127" s="407"/>
      <c r="BA127" s="407"/>
      <c r="BB127" s="407"/>
      <c r="BC127" s="407"/>
      <c r="BD127" s="407"/>
      <c r="BE127" s="287"/>
      <c r="BF127" s="287"/>
      <c r="BG127" s="407"/>
      <c r="BH127" s="290"/>
      <c r="BI127" s="290"/>
      <c r="BJ127" s="290"/>
      <c r="BK127" s="290"/>
      <c r="BL127" s="296"/>
      <c r="BM127" s="296"/>
      <c r="BN127" s="296"/>
      <c r="BO127" s="296"/>
      <c r="BP127" s="206">
        <f t="shared" si="98"/>
        <v>0</v>
      </c>
      <c r="BQ127" s="288"/>
      <c r="BR127" s="205" t="e">
        <f t="shared" si="99"/>
        <v>#DIV/0!</v>
      </c>
      <c r="BS127" s="296"/>
      <c r="BW127" s="298"/>
      <c r="BX127" s="296"/>
      <c r="BY127" s="296"/>
      <c r="BZ127" s="296"/>
      <c r="CA127" s="296"/>
      <c r="CB127" s="288"/>
      <c r="CC127" s="296"/>
      <c r="CD127" s="296"/>
      <c r="CE127" s="296"/>
      <c r="CF127" s="296"/>
      <c r="CG127" s="296"/>
      <c r="CH127" s="407"/>
      <c r="CL127" s="743"/>
      <c r="CM127" s="407"/>
    </row>
    <row r="128" spans="1:246" s="148" customFormat="1" ht="18" customHeight="1" x14ac:dyDescent="0.25">
      <c r="A128" s="68" t="s">
        <v>237</v>
      </c>
      <c r="B128" s="625" t="s">
        <v>132</v>
      </c>
      <c r="C128" s="625" t="s">
        <v>132</v>
      </c>
      <c r="D128" s="625" t="s">
        <v>132</v>
      </c>
      <c r="E128" s="625" t="s">
        <v>132</v>
      </c>
      <c r="F128" s="625" t="s">
        <v>132</v>
      </c>
      <c r="G128" s="625" t="s">
        <v>132</v>
      </c>
      <c r="H128" s="625" t="s">
        <v>132</v>
      </c>
      <c r="I128" s="625" t="s">
        <v>132</v>
      </c>
      <c r="J128" s="625" t="s">
        <v>132</v>
      </c>
      <c r="K128" s="625" t="s">
        <v>132</v>
      </c>
      <c r="L128" s="416">
        <v>0</v>
      </c>
      <c r="M128" s="416">
        <v>0</v>
      </c>
      <c r="N128" s="417" t="s">
        <v>132</v>
      </c>
      <c r="O128" s="416">
        <v>0</v>
      </c>
      <c r="P128" s="416">
        <v>0</v>
      </c>
      <c r="Q128" s="417" t="s">
        <v>132</v>
      </c>
      <c r="R128" s="416">
        <v>0</v>
      </c>
      <c r="S128" s="416">
        <v>0</v>
      </c>
      <c r="T128" s="417" t="s">
        <v>132</v>
      </c>
      <c r="U128" s="416">
        <v>0</v>
      </c>
      <c r="V128" s="416">
        <v>0</v>
      </c>
      <c r="W128" s="417" t="s">
        <v>132</v>
      </c>
      <c r="X128" s="463">
        <v>2467</v>
      </c>
      <c r="Y128" s="423">
        <f t="shared" ref="Y128:Y142" si="147">X128-U128</f>
        <v>2467</v>
      </c>
      <c r="Z128" s="577"/>
      <c r="AA128" s="423">
        <v>4892</v>
      </c>
      <c r="AB128" s="564">
        <f t="shared" ref="AB128:AB142" si="148">AA128-X128</f>
        <v>2425</v>
      </c>
      <c r="AC128" s="485">
        <f t="shared" ref="AC128:AC137" si="149">AB128/X128</f>
        <v>0.98297527361167414</v>
      </c>
      <c r="AD128" s="148">
        <v>778</v>
      </c>
      <c r="AF128" s="203">
        <v>823</v>
      </c>
      <c r="AG128" s="203">
        <f t="shared" ref="AG128:AG139" si="150">AF128-AA128</f>
        <v>-4069</v>
      </c>
      <c r="AH128" s="397">
        <f t="shared" ref="AH128:AH139" si="151">AG128/AA128</f>
        <v>-0.83176614881439082</v>
      </c>
      <c r="AI128" s="148">
        <v>778</v>
      </c>
      <c r="AJ128" s="148">
        <v>778</v>
      </c>
      <c r="AK128" s="148">
        <v>795</v>
      </c>
      <c r="AM128" s="203">
        <f t="shared" ref="AM128:AM140" si="152">+AL128+AK128</f>
        <v>795</v>
      </c>
      <c r="AN128" s="418">
        <v>2510</v>
      </c>
      <c r="AO128" s="418">
        <v>2510</v>
      </c>
      <c r="AP128" s="418">
        <v>31</v>
      </c>
      <c r="AQ128" s="418">
        <v>17</v>
      </c>
      <c r="AR128" s="418">
        <f>AP128+AQ128</f>
        <v>48</v>
      </c>
      <c r="AS128" s="418">
        <f>BB128+AR128</f>
        <v>1262.3665699999999</v>
      </c>
      <c r="AT128" s="418">
        <f>AS128-AF128</f>
        <v>439.36656999999991</v>
      </c>
      <c r="AU128" s="485">
        <f>AT128/AF128</f>
        <v>0.53385974483596588</v>
      </c>
      <c r="AV128" s="418">
        <f t="shared" ref="AV128:AV139" si="153">AS128-AF128</f>
        <v>439.36656999999991</v>
      </c>
      <c r="AW128" s="485">
        <f t="shared" ref="AW128:AW139" si="154">AV128/AF128</f>
        <v>0.53385974483596588</v>
      </c>
      <c r="AX128" s="203">
        <v>1227</v>
      </c>
      <c r="AY128" s="203">
        <f t="shared" si="101"/>
        <v>404</v>
      </c>
      <c r="AZ128" s="397">
        <f t="shared" si="102"/>
        <v>0.49088699878493319</v>
      </c>
      <c r="BA128" s="591">
        <v>1293.08599</v>
      </c>
      <c r="BB128" s="591">
        <v>1214.3665699999999</v>
      </c>
      <c r="BC128" s="591">
        <f>BA128-BB128</f>
        <v>78.719420000000127</v>
      </c>
      <c r="BD128" s="397">
        <f>BC128/BA128</f>
        <v>6.0877173373442957E-2</v>
      </c>
      <c r="BE128" s="203">
        <v>1676</v>
      </c>
      <c r="BF128" s="626">
        <f t="shared" ref="BF128:BF142" si="155">BE128-AX128</f>
        <v>449</v>
      </c>
      <c r="BG128" s="627">
        <f t="shared" ref="BG128:BG142" si="156">BF128/AX128</f>
        <v>0.36593317033414835</v>
      </c>
      <c r="BH128" s="628"/>
      <c r="BI128" s="628"/>
      <c r="BJ128" s="628"/>
      <c r="BK128" s="628">
        <v>5</v>
      </c>
      <c r="BL128" s="561">
        <f t="shared" si="103"/>
        <v>1681</v>
      </c>
      <c r="BM128" s="561">
        <f t="shared" ref="BM128:BM142" si="157">BL128-AS128</f>
        <v>418.63343000000009</v>
      </c>
      <c r="BN128" s="561">
        <v>1803</v>
      </c>
      <c r="BO128" s="561">
        <v>2303</v>
      </c>
      <c r="BP128" s="206">
        <f t="shared" si="98"/>
        <v>627</v>
      </c>
      <c r="BQ128" s="629">
        <f t="shared" ref="BQ128:BQ142" si="158">BM128/AS128</f>
        <v>0.3316258842310757</v>
      </c>
      <c r="BR128" s="205">
        <f t="shared" si="99"/>
        <v>0.37410501193317425</v>
      </c>
      <c r="BS128" s="309"/>
      <c r="BV128" s="148">
        <v>0</v>
      </c>
      <c r="BW128" s="207">
        <f t="shared" ref="BW128:BW140" si="159">BN128+BS128+BT128+BU128+BV128</f>
        <v>1803</v>
      </c>
      <c r="BX128" s="206">
        <v>2303</v>
      </c>
      <c r="BY128" s="206">
        <v>450</v>
      </c>
      <c r="BZ128" s="206">
        <v>2048</v>
      </c>
      <c r="CA128" s="206">
        <f t="shared" si="100"/>
        <v>372</v>
      </c>
      <c r="CB128" s="199">
        <f>CA128/BE128</f>
        <v>0.22195704057279236</v>
      </c>
      <c r="CC128" s="309">
        <v>1826</v>
      </c>
      <c r="CD128" s="309">
        <v>1826</v>
      </c>
      <c r="CE128" s="309"/>
      <c r="CF128" s="206">
        <v>1860</v>
      </c>
      <c r="CG128" s="206">
        <f t="shared" ref="CG128:CG142" si="160">CF128-BZ128</f>
        <v>-188</v>
      </c>
      <c r="CH128" s="304">
        <f t="shared" ref="CH128:CH142" si="161">CG128/BZ128</f>
        <v>-9.1796875E-2</v>
      </c>
      <c r="CI128" s="309">
        <v>6917</v>
      </c>
      <c r="CJ128" s="309">
        <v>-4000</v>
      </c>
      <c r="CK128" s="309">
        <f t="shared" ref="CK128:CK141" si="162">CJ128+CI128</f>
        <v>2917</v>
      </c>
      <c r="CL128" s="206">
        <f t="shared" si="95"/>
        <v>1057</v>
      </c>
      <c r="CM128" s="608">
        <f t="shared" ref="CM128:CM141" si="163">CL128/CF128</f>
        <v>0.56827956989247308</v>
      </c>
      <c r="CN128" s="203">
        <v>3001</v>
      </c>
      <c r="CO128" s="206">
        <f t="shared" si="96"/>
        <v>84</v>
      </c>
      <c r="CP128" s="304">
        <f t="shared" si="97"/>
        <v>2.8796708947548853E-2</v>
      </c>
    </row>
    <row r="129" spans="1:157" ht="18" customHeight="1" x14ac:dyDescent="0.25">
      <c r="A129" s="68" t="s">
        <v>238</v>
      </c>
      <c r="B129" s="416">
        <f>604098+4717</f>
        <v>608815</v>
      </c>
      <c r="C129" s="416">
        <f>737128+4904</f>
        <v>742032</v>
      </c>
      <c r="D129" s="416">
        <f t="shared" ref="D129:D134" si="164">C129-B129</f>
        <v>133217</v>
      </c>
      <c r="E129" s="563">
        <f t="shared" ref="E129:E134" si="165">(C129-B129)/B129</f>
        <v>0.2188135969054639</v>
      </c>
      <c r="F129" s="204">
        <f>740706+5757</f>
        <v>746463</v>
      </c>
      <c r="G129" s="204">
        <f t="shared" ref="G129:G134" si="166">F129-C129</f>
        <v>4431</v>
      </c>
      <c r="H129" s="199">
        <f t="shared" ref="H129:H134" si="167">(F129-C129)/C129</f>
        <v>5.9714405847726242E-3</v>
      </c>
      <c r="I129" s="204">
        <f>711890+6630</f>
        <v>718520</v>
      </c>
      <c r="J129" s="204">
        <f t="shared" ref="J129:J134" si="168">I129-F129</f>
        <v>-27943</v>
      </c>
      <c r="K129" s="199">
        <f t="shared" ref="K129:K134" si="169">(I129-F129)/F129</f>
        <v>-3.7433871471191475E-2</v>
      </c>
      <c r="L129" s="204">
        <v>775465</v>
      </c>
      <c r="M129" s="416">
        <v>56944</v>
      </c>
      <c r="N129" s="417">
        <v>7.9251685058613464E-2</v>
      </c>
      <c r="O129" s="204">
        <v>788733</v>
      </c>
      <c r="P129" s="204">
        <f t="shared" ref="P129:P135" si="170">O129-L129</f>
        <v>13268</v>
      </c>
      <c r="Q129" s="316">
        <f>P129/L129</f>
        <v>1.7109734159504297E-2</v>
      </c>
      <c r="R129" s="315">
        <v>819223</v>
      </c>
      <c r="S129" s="315">
        <f t="shared" ref="S129:S142" si="171">R129-O129</f>
        <v>30490</v>
      </c>
      <c r="T129" s="316">
        <f t="shared" ref="T129:T134" si="172">S129/O129</f>
        <v>3.8656934602710927E-2</v>
      </c>
      <c r="U129" s="315">
        <v>827796</v>
      </c>
      <c r="V129" s="315">
        <f>U129-R129</f>
        <v>8573</v>
      </c>
      <c r="W129" s="316">
        <f t="shared" ref="W129:W134" si="173">V129/R129</f>
        <v>1.0464794079267793E-2</v>
      </c>
      <c r="X129" s="463">
        <v>874214</v>
      </c>
      <c r="Y129" s="315">
        <f t="shared" si="147"/>
        <v>46418</v>
      </c>
      <c r="Z129" s="577">
        <f t="shared" ref="Z129:Z134" si="174">Y129/U129</f>
        <v>5.6074201856496045E-2</v>
      </c>
      <c r="AA129" s="423">
        <v>565780</v>
      </c>
      <c r="AB129" s="374">
        <f t="shared" si="148"/>
        <v>-308434</v>
      </c>
      <c r="AC129" s="205">
        <f t="shared" si="149"/>
        <v>-0.35281292681197052</v>
      </c>
      <c r="AD129" s="200">
        <f>510881</f>
        <v>510881</v>
      </c>
      <c r="AE129" s="200">
        <v>4005</v>
      </c>
      <c r="AF129" s="203">
        <v>522828</v>
      </c>
      <c r="AG129" s="204">
        <f t="shared" si="150"/>
        <v>-42952</v>
      </c>
      <c r="AH129" s="304">
        <f t="shared" si="151"/>
        <v>-7.5916433949591716E-2</v>
      </c>
      <c r="AI129" s="200">
        <f>AF129-10898</f>
        <v>511930</v>
      </c>
      <c r="AJ129" s="200">
        <f>AF129-9739</f>
        <v>513089</v>
      </c>
      <c r="AK129" s="66">
        <v>550548</v>
      </c>
      <c r="AM129" s="204">
        <f t="shared" si="152"/>
        <v>550548</v>
      </c>
      <c r="AN129" s="200">
        <v>563538</v>
      </c>
      <c r="AO129" s="200">
        <v>568044</v>
      </c>
      <c r="AP129" s="200"/>
      <c r="AQ129" s="200"/>
      <c r="AR129" s="418">
        <f t="shared" ref="AR129:AR140" si="175">AP129+AQ129</f>
        <v>0</v>
      </c>
      <c r="AS129" s="418">
        <f t="shared" ref="AS129:AS140" si="176">BB129+AR129</f>
        <v>589196</v>
      </c>
      <c r="AT129" s="418">
        <f t="shared" ref="AT129:AT142" si="177">AS129-AF129</f>
        <v>66368</v>
      </c>
      <c r="AU129" s="205">
        <f t="shared" ref="AU129:AU142" si="178">AT129/AF129</f>
        <v>0.12694040870037565</v>
      </c>
      <c r="AV129" s="418">
        <f t="shared" si="153"/>
        <v>66368</v>
      </c>
      <c r="AW129" s="485">
        <f t="shared" si="154"/>
        <v>0.12694040870037565</v>
      </c>
      <c r="AX129" s="204">
        <f>(549309+11000)-900</f>
        <v>559409</v>
      </c>
      <c r="AY129" s="204">
        <f>AX129-AF129</f>
        <v>36581</v>
      </c>
      <c r="AZ129" s="304">
        <f t="shared" si="102"/>
        <v>6.9967561033456513E-2</v>
      </c>
      <c r="BA129" s="560">
        <f>585840.39891+4989.8188</f>
        <v>590830.21771</v>
      </c>
      <c r="BB129" s="591">
        <f>589196</f>
        <v>589196</v>
      </c>
      <c r="BC129" s="591">
        <f t="shared" ref="BC129:BC140" si="179">BA129-BB129</f>
        <v>1634.2177099999972</v>
      </c>
      <c r="BD129" s="397">
        <f t="shared" ref="BD129:BD140" si="180">BC129/BA129</f>
        <v>2.7659683966978952E-3</v>
      </c>
      <c r="BE129" s="203">
        <v>640442</v>
      </c>
      <c r="BF129" s="626">
        <f t="shared" si="155"/>
        <v>81033</v>
      </c>
      <c r="BG129" s="627">
        <f t="shared" si="156"/>
        <v>0.14485465911345724</v>
      </c>
      <c r="BH129" s="628"/>
      <c r="BI129" s="628"/>
      <c r="BJ129" s="628"/>
      <c r="BK129" s="628"/>
      <c r="BL129" s="561">
        <f t="shared" si="103"/>
        <v>640442</v>
      </c>
      <c r="BM129" s="561">
        <f t="shared" si="157"/>
        <v>51246</v>
      </c>
      <c r="BN129" s="561">
        <v>657784</v>
      </c>
      <c r="BO129" s="561">
        <v>657984</v>
      </c>
      <c r="BP129" s="206">
        <f t="shared" si="98"/>
        <v>17542</v>
      </c>
      <c r="BQ129" s="629">
        <f t="shared" si="158"/>
        <v>8.6976150550920242E-2</v>
      </c>
      <c r="BR129" s="205">
        <f t="shared" si="99"/>
        <v>2.7390458464622871E-2</v>
      </c>
      <c r="BS129" s="206">
        <v>44881</v>
      </c>
      <c r="BV129" s="66">
        <v>152</v>
      </c>
      <c r="BW129" s="207">
        <f t="shared" si="159"/>
        <v>702817</v>
      </c>
      <c r="BX129" s="206">
        <v>657984</v>
      </c>
      <c r="BY129" s="206">
        <v>13739</v>
      </c>
      <c r="BZ129" s="206">
        <v>660307</v>
      </c>
      <c r="CA129" s="206">
        <f t="shared" si="100"/>
        <v>19865</v>
      </c>
      <c r="CB129" s="199">
        <f t="shared" ref="CB129:CB142" si="181">CA129/BE129</f>
        <v>3.1017640941724621E-2</v>
      </c>
      <c r="CC129" s="206">
        <v>655392</v>
      </c>
      <c r="CD129" s="206">
        <v>655527</v>
      </c>
      <c r="CE129" s="206">
        <v>2844</v>
      </c>
      <c r="CF129" s="206">
        <v>663112</v>
      </c>
      <c r="CG129" s="206">
        <f t="shared" si="160"/>
        <v>2805</v>
      </c>
      <c r="CH129" s="304">
        <f t="shared" si="161"/>
        <v>4.2480240251882833E-3</v>
      </c>
      <c r="CI129" s="206">
        <v>709689</v>
      </c>
      <c r="CJ129" s="206"/>
      <c r="CK129" s="206">
        <f t="shared" si="162"/>
        <v>709689</v>
      </c>
      <c r="CL129" s="206">
        <f t="shared" si="95"/>
        <v>46577</v>
      </c>
      <c r="CM129" s="608">
        <f t="shared" si="163"/>
        <v>7.0240019785496266E-2</v>
      </c>
      <c r="CN129" s="204">
        <v>733431</v>
      </c>
      <c r="CO129" s="206">
        <f t="shared" si="96"/>
        <v>23742</v>
      </c>
      <c r="CP129" s="304">
        <f t="shared" si="97"/>
        <v>3.345409045370578E-2</v>
      </c>
      <c r="CQ129" s="204">
        <f>+CN129+CN132</f>
        <v>1416097</v>
      </c>
    </row>
    <row r="130" spans="1:157" ht="18" customHeight="1" x14ac:dyDescent="0.25">
      <c r="A130" s="68" t="s">
        <v>239</v>
      </c>
      <c r="B130" s="416">
        <v>10700</v>
      </c>
      <c r="C130" s="416">
        <v>200</v>
      </c>
      <c r="D130" s="416">
        <f t="shared" si="164"/>
        <v>-10500</v>
      </c>
      <c r="E130" s="563">
        <f t="shared" si="165"/>
        <v>-0.98130841121495327</v>
      </c>
      <c r="F130" s="204">
        <v>0</v>
      </c>
      <c r="G130" s="204">
        <f t="shared" si="166"/>
        <v>-200</v>
      </c>
      <c r="H130" s="199">
        <f t="shared" si="167"/>
        <v>-1</v>
      </c>
      <c r="I130" s="204">
        <v>0</v>
      </c>
      <c r="J130" s="204">
        <f t="shared" si="168"/>
        <v>0</v>
      </c>
      <c r="K130" s="199" t="e">
        <f t="shared" si="169"/>
        <v>#DIV/0!</v>
      </c>
      <c r="L130" s="204">
        <v>0</v>
      </c>
      <c r="M130" s="416">
        <v>0</v>
      </c>
      <c r="N130" s="417" t="s">
        <v>132</v>
      </c>
      <c r="O130" s="204">
        <v>9147</v>
      </c>
      <c r="P130" s="204">
        <f t="shared" si="170"/>
        <v>9147</v>
      </c>
      <c r="Q130" s="395" t="s">
        <v>132</v>
      </c>
      <c r="R130" s="315">
        <v>15431</v>
      </c>
      <c r="S130" s="315">
        <f t="shared" si="171"/>
        <v>6284</v>
      </c>
      <c r="T130" s="316">
        <f t="shared" si="172"/>
        <v>0.68700120258008091</v>
      </c>
      <c r="U130" s="315">
        <v>14540</v>
      </c>
      <c r="V130" s="315">
        <f t="shared" ref="V130:V135" si="182">U130-R130</f>
        <v>-891</v>
      </c>
      <c r="W130" s="316">
        <f t="shared" si="173"/>
        <v>-5.7740911152874087E-2</v>
      </c>
      <c r="X130" s="463">
        <v>5964</v>
      </c>
      <c r="Y130" s="315">
        <f t="shared" si="147"/>
        <v>-8576</v>
      </c>
      <c r="Z130" s="577">
        <f t="shared" si="174"/>
        <v>-0.58982118294360386</v>
      </c>
      <c r="AA130" s="203">
        <v>0</v>
      </c>
      <c r="AB130" s="374">
        <f t="shared" si="148"/>
        <v>-5964</v>
      </c>
      <c r="AC130" s="205">
        <f t="shared" si="149"/>
        <v>-1</v>
      </c>
      <c r="AD130" s="200">
        <v>3000</v>
      </c>
      <c r="AE130" s="200"/>
      <c r="AF130" s="203">
        <v>3000</v>
      </c>
      <c r="AG130" s="204">
        <f t="shared" si="150"/>
        <v>3000</v>
      </c>
      <c r="AH130" s="304" t="e">
        <f t="shared" si="151"/>
        <v>#DIV/0!</v>
      </c>
      <c r="AI130" s="200">
        <v>3000</v>
      </c>
      <c r="AJ130" s="66">
        <v>3000</v>
      </c>
      <c r="AK130" s="66">
        <v>3000</v>
      </c>
      <c r="AM130" s="204">
        <f t="shared" si="152"/>
        <v>3000</v>
      </c>
      <c r="AN130" s="200">
        <v>3000</v>
      </c>
      <c r="AO130" s="200">
        <v>3000</v>
      </c>
      <c r="AP130" s="200"/>
      <c r="AQ130" s="200"/>
      <c r="AR130" s="418">
        <f t="shared" si="175"/>
        <v>0</v>
      </c>
      <c r="AS130" s="418">
        <f t="shared" si="176"/>
        <v>3000</v>
      </c>
      <c r="AT130" s="418">
        <f t="shared" si="177"/>
        <v>0</v>
      </c>
      <c r="AU130" s="205">
        <f t="shared" si="178"/>
        <v>0</v>
      </c>
      <c r="AV130" s="418">
        <f t="shared" si="153"/>
        <v>0</v>
      </c>
      <c r="AW130" s="485">
        <f t="shared" si="154"/>
        <v>0</v>
      </c>
      <c r="AX130" s="204">
        <v>3000</v>
      </c>
      <c r="AY130" s="204">
        <f t="shared" si="101"/>
        <v>0</v>
      </c>
      <c r="AZ130" s="304">
        <f t="shared" si="102"/>
        <v>0</v>
      </c>
      <c r="BA130" s="560">
        <v>3000</v>
      </c>
      <c r="BB130" s="591">
        <v>3000</v>
      </c>
      <c r="BC130" s="591">
        <f t="shared" si="179"/>
        <v>0</v>
      </c>
      <c r="BD130" s="397">
        <f t="shared" si="180"/>
        <v>0</v>
      </c>
      <c r="BE130" s="203">
        <v>3000</v>
      </c>
      <c r="BF130" s="626">
        <f t="shared" si="155"/>
        <v>0</v>
      </c>
      <c r="BG130" s="627">
        <f t="shared" si="156"/>
        <v>0</v>
      </c>
      <c r="BH130" s="628"/>
      <c r="BI130" s="628"/>
      <c r="BJ130" s="628"/>
      <c r="BK130" s="628"/>
      <c r="BL130" s="561">
        <f t="shared" si="103"/>
        <v>3000</v>
      </c>
      <c r="BM130" s="561">
        <f t="shared" si="157"/>
        <v>0</v>
      </c>
      <c r="BN130" s="561">
        <v>6407</v>
      </c>
      <c r="BO130" s="561">
        <v>6407</v>
      </c>
      <c r="BP130" s="206">
        <f t="shared" si="98"/>
        <v>3407</v>
      </c>
      <c r="BQ130" s="629">
        <f t="shared" si="158"/>
        <v>0</v>
      </c>
      <c r="BR130" s="205">
        <f t="shared" si="99"/>
        <v>1.1356666666666666</v>
      </c>
      <c r="BW130" s="207">
        <f t="shared" si="159"/>
        <v>6407</v>
      </c>
      <c r="BX130" s="206">
        <v>6407</v>
      </c>
      <c r="BY130" s="206"/>
      <c r="BZ130" s="206">
        <v>6396</v>
      </c>
      <c r="CA130" s="206">
        <f t="shared" si="100"/>
        <v>3396</v>
      </c>
      <c r="CB130" s="199">
        <f t="shared" si="181"/>
        <v>1.1319999999999999</v>
      </c>
      <c r="CC130" s="206">
        <v>31636</v>
      </c>
      <c r="CD130" s="206">
        <v>31636</v>
      </c>
      <c r="CE130" s="206"/>
      <c r="CF130" s="206">
        <v>31573</v>
      </c>
      <c r="CG130" s="206">
        <f t="shared" si="160"/>
        <v>25177</v>
      </c>
      <c r="CH130" s="304">
        <f t="shared" si="161"/>
        <v>3.936366479049406</v>
      </c>
      <c r="CI130" s="206">
        <v>39513</v>
      </c>
      <c r="CJ130" s="206"/>
      <c r="CK130" s="206">
        <f t="shared" si="162"/>
        <v>39513</v>
      </c>
      <c r="CL130" s="206">
        <f t="shared" si="95"/>
        <v>7940</v>
      </c>
      <c r="CM130" s="608">
        <f t="shared" si="163"/>
        <v>0.25148069553099167</v>
      </c>
      <c r="CN130" s="204">
        <v>44469</v>
      </c>
      <c r="CO130" s="206">
        <f t="shared" si="96"/>
        <v>4956</v>
      </c>
      <c r="CP130" s="304">
        <f t="shared" si="97"/>
        <v>0.12542707463366487</v>
      </c>
      <c r="CQ130" s="206">
        <f>+CK129+CK132</f>
        <v>1382597</v>
      </c>
    </row>
    <row r="131" spans="1:157" ht="18" customHeight="1" x14ac:dyDescent="0.25">
      <c r="A131" s="312" t="s">
        <v>240</v>
      </c>
      <c r="B131" s="310">
        <v>23597</v>
      </c>
      <c r="C131" s="310">
        <f>2362+23112</f>
        <v>25474</v>
      </c>
      <c r="D131" s="416">
        <f t="shared" si="164"/>
        <v>1877</v>
      </c>
      <c r="E131" s="563">
        <f t="shared" si="165"/>
        <v>7.9544009831758272E-2</v>
      </c>
      <c r="F131" s="204">
        <f>4216+234+22237</f>
        <v>26687</v>
      </c>
      <c r="G131" s="204">
        <f t="shared" si="166"/>
        <v>1213</v>
      </c>
      <c r="H131" s="199">
        <f t="shared" si="167"/>
        <v>4.7617178299442571E-2</v>
      </c>
      <c r="I131" s="204">
        <f>5247+146+21887</f>
        <v>27280</v>
      </c>
      <c r="J131" s="204">
        <f t="shared" si="168"/>
        <v>593</v>
      </c>
      <c r="K131" s="199">
        <f t="shared" si="169"/>
        <v>2.2220556825420616E-2</v>
      </c>
      <c r="L131" s="204">
        <f>11324+23193</f>
        <v>34517</v>
      </c>
      <c r="M131" s="416">
        <v>5931</v>
      </c>
      <c r="N131" s="417">
        <v>1.0997589467828668</v>
      </c>
      <c r="O131" s="204">
        <f>10084+33913</f>
        <v>43997</v>
      </c>
      <c r="P131" s="204">
        <f t="shared" si="170"/>
        <v>9480</v>
      </c>
      <c r="Q131" s="316">
        <f>P131/L131</f>
        <v>0.27464727525567112</v>
      </c>
      <c r="R131" s="315">
        <f>12755+54866</f>
        <v>67621</v>
      </c>
      <c r="S131" s="315">
        <f t="shared" si="171"/>
        <v>23624</v>
      </c>
      <c r="T131" s="316">
        <f t="shared" si="172"/>
        <v>0.53694570084323934</v>
      </c>
      <c r="U131" s="315">
        <f>14587+44911</f>
        <v>59498</v>
      </c>
      <c r="V131" s="315">
        <f t="shared" si="182"/>
        <v>-8123</v>
      </c>
      <c r="W131" s="316">
        <f t="shared" si="173"/>
        <v>-0.12012540482986055</v>
      </c>
      <c r="X131" s="463">
        <v>103135</v>
      </c>
      <c r="Y131" s="315">
        <f t="shared" si="147"/>
        <v>43637</v>
      </c>
      <c r="Z131" s="577">
        <f t="shared" si="174"/>
        <v>0.73341961074321826</v>
      </c>
      <c r="AA131" s="203">
        <v>128111</v>
      </c>
      <c r="AB131" s="374">
        <f t="shared" si="148"/>
        <v>24976</v>
      </c>
      <c r="AC131" s="205">
        <f t="shared" si="149"/>
        <v>0.24216803219081787</v>
      </c>
      <c r="AD131" s="200">
        <v>111990</v>
      </c>
      <c r="AE131" s="200">
        <v>10728</v>
      </c>
      <c r="AF131" s="203">
        <v>109862</v>
      </c>
      <c r="AG131" s="204">
        <f t="shared" si="150"/>
        <v>-18249</v>
      </c>
      <c r="AH131" s="304">
        <f t="shared" si="151"/>
        <v>-0.14244678442912787</v>
      </c>
      <c r="AI131" s="200">
        <f>AD131-4201</f>
        <v>107789</v>
      </c>
      <c r="AJ131" s="200">
        <f>AF131-3809</f>
        <v>106053</v>
      </c>
      <c r="AK131" s="66">
        <v>116890</v>
      </c>
      <c r="AM131" s="204">
        <f t="shared" si="152"/>
        <v>116890</v>
      </c>
      <c r="AN131" s="200">
        <v>106553</v>
      </c>
      <c r="AO131" s="200">
        <v>116879</v>
      </c>
      <c r="AP131" s="200"/>
      <c r="AQ131" s="200"/>
      <c r="AR131" s="418">
        <f t="shared" si="175"/>
        <v>0</v>
      </c>
      <c r="AS131" s="418">
        <f t="shared" si="176"/>
        <v>100807</v>
      </c>
      <c r="AT131" s="418">
        <f t="shared" si="177"/>
        <v>-9055</v>
      </c>
      <c r="AU131" s="205">
        <f t="shared" si="178"/>
        <v>-8.2421583441044222E-2</v>
      </c>
      <c r="AV131" s="418">
        <f t="shared" si="153"/>
        <v>-9055</v>
      </c>
      <c r="AW131" s="485">
        <f t="shared" si="154"/>
        <v>-8.2421583441044222E-2</v>
      </c>
      <c r="AX131" s="204">
        <v>122698</v>
      </c>
      <c r="AY131" s="204">
        <f t="shared" si="101"/>
        <v>12836</v>
      </c>
      <c r="AZ131" s="304">
        <f t="shared" si="102"/>
        <v>0.11683748702918206</v>
      </c>
      <c r="BA131" s="560">
        <f>106604.73554+3793.97242</f>
        <v>110398.70796</v>
      </c>
      <c r="BB131" s="591">
        <f>101166-BB141</f>
        <v>100807</v>
      </c>
      <c r="BC131" s="591">
        <f t="shared" si="179"/>
        <v>9591.7079599999997</v>
      </c>
      <c r="BD131" s="397">
        <f t="shared" si="180"/>
        <v>8.6882429488896712E-2</v>
      </c>
      <c r="BE131" s="203">
        <v>97478</v>
      </c>
      <c r="BF131" s="626">
        <f t="shared" si="155"/>
        <v>-25220</v>
      </c>
      <c r="BG131" s="627">
        <f t="shared" si="156"/>
        <v>-0.20554532266214609</v>
      </c>
      <c r="BH131" s="628"/>
      <c r="BI131" s="628"/>
      <c r="BJ131" s="628"/>
      <c r="BK131" s="628">
        <v>319</v>
      </c>
      <c r="BL131" s="561">
        <f t="shared" si="103"/>
        <v>97797</v>
      </c>
      <c r="BM131" s="561">
        <f t="shared" si="157"/>
        <v>-3010</v>
      </c>
      <c r="BN131" s="561">
        <v>102506</v>
      </c>
      <c r="BO131" s="561">
        <v>105816</v>
      </c>
      <c r="BP131" s="206">
        <f t="shared" si="98"/>
        <v>8338</v>
      </c>
      <c r="BQ131" s="629">
        <f t="shared" si="158"/>
        <v>-2.9859037566835635E-2</v>
      </c>
      <c r="BR131" s="205">
        <f t="shared" si="99"/>
        <v>8.5537249430640755E-2</v>
      </c>
      <c r="BS131" s="206">
        <v>4250</v>
      </c>
      <c r="BV131" s="66">
        <v>129</v>
      </c>
      <c r="BW131" s="207">
        <f t="shared" si="159"/>
        <v>106885</v>
      </c>
      <c r="BX131" s="206">
        <f>105816-BX141</f>
        <v>105311</v>
      </c>
      <c r="BY131" s="206">
        <v>1452</v>
      </c>
      <c r="BZ131" s="206">
        <v>112108</v>
      </c>
      <c r="CA131" s="206">
        <f t="shared" si="100"/>
        <v>14630</v>
      </c>
      <c r="CB131" s="199">
        <f t="shared" si="181"/>
        <v>0.1500851474178789</v>
      </c>
      <c r="CC131" s="206">
        <v>109852</v>
      </c>
      <c r="CD131" s="206">
        <v>127975</v>
      </c>
      <c r="CE131" s="206">
        <v>2452</v>
      </c>
      <c r="CF131" s="206">
        <v>127798</v>
      </c>
      <c r="CG131" s="206">
        <f t="shared" si="160"/>
        <v>15690</v>
      </c>
      <c r="CH131" s="304">
        <f t="shared" si="161"/>
        <v>0.13995432975345204</v>
      </c>
      <c r="CI131" s="206">
        <v>142545</v>
      </c>
      <c r="CJ131" s="206">
        <v>-5951</v>
      </c>
      <c r="CK131" s="206">
        <f t="shared" si="162"/>
        <v>136594</v>
      </c>
      <c r="CL131" s="206">
        <f t="shared" si="95"/>
        <v>8796</v>
      </c>
      <c r="CM131" s="608">
        <f t="shared" si="163"/>
        <v>6.8827368190425509E-2</v>
      </c>
      <c r="CN131" s="204">
        <v>137253</v>
      </c>
      <c r="CO131" s="206">
        <f t="shared" si="96"/>
        <v>659</v>
      </c>
      <c r="CP131" s="304">
        <f t="shared" si="97"/>
        <v>4.8245164502101114E-3</v>
      </c>
      <c r="CQ131" s="199">
        <f>+CQ129/CQ130-1</f>
        <v>2.4229764710902657E-2</v>
      </c>
    </row>
    <row r="132" spans="1:157" s="148" customFormat="1" ht="18" customHeight="1" x14ac:dyDescent="0.25">
      <c r="A132" s="312" t="s">
        <v>241</v>
      </c>
      <c r="B132" s="416">
        <f>46480+3455</f>
        <v>49935</v>
      </c>
      <c r="C132" s="416">
        <f>136876-8</f>
        <v>136868</v>
      </c>
      <c r="D132" s="416">
        <f t="shared" si="164"/>
        <v>86933</v>
      </c>
      <c r="E132" s="563">
        <f t="shared" si="165"/>
        <v>1.7409232001602082</v>
      </c>
      <c r="F132" s="203">
        <v>97625</v>
      </c>
      <c r="G132" s="203">
        <f t="shared" si="166"/>
        <v>-39243</v>
      </c>
      <c r="H132" s="362">
        <f t="shared" si="167"/>
        <v>-0.28672151269836632</v>
      </c>
      <c r="I132" s="203">
        <v>114283</v>
      </c>
      <c r="J132" s="203">
        <f t="shared" si="168"/>
        <v>16658</v>
      </c>
      <c r="K132" s="362">
        <f t="shared" si="169"/>
        <v>0.17063252240717031</v>
      </c>
      <c r="L132" s="203">
        <v>161969</v>
      </c>
      <c r="M132" s="416">
        <v>47686</v>
      </c>
      <c r="N132" s="417">
        <v>0.41726240998223707</v>
      </c>
      <c r="O132" s="203">
        <v>188324</v>
      </c>
      <c r="P132" s="203">
        <f t="shared" si="170"/>
        <v>26355</v>
      </c>
      <c r="Q132" s="397">
        <f>P132/L132</f>
        <v>0.16271632225919774</v>
      </c>
      <c r="R132" s="203">
        <v>227190</v>
      </c>
      <c r="S132" s="203">
        <f t="shared" si="171"/>
        <v>38866</v>
      </c>
      <c r="T132" s="397">
        <f t="shared" si="172"/>
        <v>0.20637836919351754</v>
      </c>
      <c r="U132" s="203">
        <v>277159</v>
      </c>
      <c r="V132" s="203">
        <f t="shared" si="182"/>
        <v>49969</v>
      </c>
      <c r="W132" s="397">
        <f t="shared" si="173"/>
        <v>0.2199436594920551</v>
      </c>
      <c r="X132" s="201">
        <v>316675</v>
      </c>
      <c r="Y132" s="203">
        <f t="shared" si="147"/>
        <v>39516</v>
      </c>
      <c r="Z132" s="484">
        <f t="shared" si="174"/>
        <v>0.14257520051667094</v>
      </c>
      <c r="AA132" s="203">
        <v>366053</v>
      </c>
      <c r="AB132" s="564">
        <f t="shared" si="148"/>
        <v>49378</v>
      </c>
      <c r="AC132" s="485">
        <f t="shared" si="149"/>
        <v>0.15592642298886872</v>
      </c>
      <c r="AD132" s="418">
        <f>373969</f>
        <v>373969</v>
      </c>
      <c r="AE132" s="418"/>
      <c r="AF132" s="203">
        <v>375845</v>
      </c>
      <c r="AG132" s="203">
        <f t="shared" si="150"/>
        <v>9792</v>
      </c>
      <c r="AH132" s="397">
        <f t="shared" si="151"/>
        <v>2.6750224694238267E-2</v>
      </c>
      <c r="AI132" s="418">
        <f>AD132-15575</f>
        <v>358394</v>
      </c>
      <c r="AJ132" s="319">
        <f>AF132-15757</f>
        <v>360088</v>
      </c>
      <c r="AK132" s="68">
        <v>423039</v>
      </c>
      <c r="AM132" s="203">
        <f t="shared" si="152"/>
        <v>423039</v>
      </c>
      <c r="AN132" s="418">
        <v>433792</v>
      </c>
      <c r="AO132" s="418">
        <v>433792</v>
      </c>
      <c r="AP132" s="418">
        <v>0</v>
      </c>
      <c r="AQ132" s="418"/>
      <c r="AR132" s="418">
        <f t="shared" si="175"/>
        <v>0</v>
      </c>
      <c r="AS132" s="418">
        <f t="shared" si="176"/>
        <v>440368.37102000002</v>
      </c>
      <c r="AT132" s="418">
        <f t="shared" si="177"/>
        <v>64523.371020000021</v>
      </c>
      <c r="AU132" s="485">
        <f t="shared" si="178"/>
        <v>0.17167548063696475</v>
      </c>
      <c r="AV132" s="418">
        <f t="shared" si="153"/>
        <v>64523.371020000021</v>
      </c>
      <c r="AW132" s="485">
        <f t="shared" si="154"/>
        <v>0.17167548063696475</v>
      </c>
      <c r="AX132" s="203">
        <f>427839+7000</f>
        <v>434839</v>
      </c>
      <c r="AY132" s="203">
        <f t="shared" si="101"/>
        <v>58994</v>
      </c>
      <c r="AZ132" s="397">
        <f t="shared" si="102"/>
        <v>0.15696364192685813</v>
      </c>
      <c r="BA132" s="560">
        <v>440525.39600000001</v>
      </c>
      <c r="BB132" s="591">
        <v>440368.37102000002</v>
      </c>
      <c r="BC132" s="591">
        <f t="shared" si="179"/>
        <v>157.02497999998741</v>
      </c>
      <c r="BD132" s="397">
        <f t="shared" si="180"/>
        <v>3.5644932488747462E-4</v>
      </c>
      <c r="BE132" s="203">
        <v>508113</v>
      </c>
      <c r="BF132" s="626">
        <f t="shared" si="155"/>
        <v>73274</v>
      </c>
      <c r="BG132" s="627">
        <f t="shared" si="156"/>
        <v>0.16850834446772253</v>
      </c>
      <c r="BH132" s="628"/>
      <c r="BI132" s="628"/>
      <c r="BJ132" s="628"/>
      <c r="BK132" s="628"/>
      <c r="BL132" s="561">
        <f t="shared" si="103"/>
        <v>508113</v>
      </c>
      <c r="BM132" s="561">
        <f t="shared" si="157"/>
        <v>67744.628979999979</v>
      </c>
      <c r="BN132" s="561">
        <v>535364</v>
      </c>
      <c r="BO132" s="561">
        <v>535364</v>
      </c>
      <c r="BP132" s="206">
        <f t="shared" si="98"/>
        <v>27251</v>
      </c>
      <c r="BQ132" s="629">
        <f t="shared" si="158"/>
        <v>0.15383627307993755</v>
      </c>
      <c r="BR132" s="205">
        <f t="shared" si="99"/>
        <v>5.3631770885610087E-2</v>
      </c>
      <c r="BS132" s="309"/>
      <c r="BW132" s="207">
        <f t="shared" si="159"/>
        <v>535364</v>
      </c>
      <c r="BX132" s="206">
        <v>535364</v>
      </c>
      <c r="BY132" s="206">
        <v>2000</v>
      </c>
      <c r="BZ132" s="206">
        <v>601428</v>
      </c>
      <c r="CA132" s="206">
        <f t="shared" si="100"/>
        <v>93315</v>
      </c>
      <c r="CB132" s="199">
        <f t="shared" si="181"/>
        <v>0.18365009358154583</v>
      </c>
      <c r="CC132" s="309">
        <v>616499</v>
      </c>
      <c r="CD132" s="309">
        <v>616499</v>
      </c>
      <c r="CE132" s="309">
        <v>-10000</v>
      </c>
      <c r="CF132" s="206">
        <v>627979</v>
      </c>
      <c r="CG132" s="206">
        <f t="shared" si="160"/>
        <v>26551</v>
      </c>
      <c r="CH132" s="304">
        <f t="shared" si="161"/>
        <v>4.4146597763988375E-2</v>
      </c>
      <c r="CI132" s="309">
        <v>675408</v>
      </c>
      <c r="CJ132" s="309">
        <v>-2500</v>
      </c>
      <c r="CK132" s="309">
        <f t="shared" si="162"/>
        <v>672908</v>
      </c>
      <c r="CL132" s="206">
        <f t="shared" si="95"/>
        <v>44929</v>
      </c>
      <c r="CM132" s="608">
        <f t="shared" si="163"/>
        <v>7.1545386071827241E-2</v>
      </c>
      <c r="CN132" s="203">
        <v>682666</v>
      </c>
      <c r="CO132" s="206">
        <f t="shared" si="96"/>
        <v>9758</v>
      </c>
      <c r="CP132" s="304">
        <f t="shared" si="97"/>
        <v>1.4501239396767463E-2</v>
      </c>
    </row>
    <row r="133" spans="1:157" ht="18" customHeight="1" x14ac:dyDescent="0.25">
      <c r="A133" s="312" t="s">
        <v>242</v>
      </c>
      <c r="B133" s="302">
        <v>40491</v>
      </c>
      <c r="C133" s="302">
        <v>46933</v>
      </c>
      <c r="D133" s="416">
        <f t="shared" si="164"/>
        <v>6442</v>
      </c>
      <c r="E133" s="563">
        <f t="shared" si="165"/>
        <v>0.15909708330246228</v>
      </c>
      <c r="F133" s="204">
        <v>56068</v>
      </c>
      <c r="G133" s="204">
        <f t="shared" si="166"/>
        <v>9135</v>
      </c>
      <c r="H133" s="199">
        <f t="shared" si="167"/>
        <v>0.19463916647135279</v>
      </c>
      <c r="I133" s="204">
        <v>50544</v>
      </c>
      <c r="J133" s="204">
        <f t="shared" si="168"/>
        <v>-5524</v>
      </c>
      <c r="K133" s="199">
        <f t="shared" si="169"/>
        <v>-9.8523221802097452E-2</v>
      </c>
      <c r="L133" s="204">
        <v>50861</v>
      </c>
      <c r="M133" s="416">
        <v>15085</v>
      </c>
      <c r="N133" s="417">
        <v>0.29845283317505539</v>
      </c>
      <c r="O133" s="204">
        <v>51581</v>
      </c>
      <c r="P133" s="204">
        <f t="shared" si="170"/>
        <v>720</v>
      </c>
      <c r="Q133" s="304">
        <f>P133/L133</f>
        <v>1.4156229724150135E-2</v>
      </c>
      <c r="R133" s="204">
        <v>61266</v>
      </c>
      <c r="S133" s="204">
        <f t="shared" si="171"/>
        <v>9685</v>
      </c>
      <c r="T133" s="304">
        <f t="shared" si="172"/>
        <v>0.18776293596479324</v>
      </c>
      <c r="U133" s="204">
        <v>62636</v>
      </c>
      <c r="V133" s="204">
        <f t="shared" si="182"/>
        <v>1370</v>
      </c>
      <c r="W133" s="304">
        <f t="shared" si="173"/>
        <v>2.2361505565892992E-2</v>
      </c>
      <c r="X133" s="201">
        <v>62770</v>
      </c>
      <c r="Y133" s="204">
        <f t="shared" si="147"/>
        <v>134</v>
      </c>
      <c r="Z133" s="484">
        <f t="shared" si="174"/>
        <v>2.1393447857462164E-3</v>
      </c>
      <c r="AA133" s="203">
        <v>62070</v>
      </c>
      <c r="AB133" s="374">
        <f t="shared" si="148"/>
        <v>-700</v>
      </c>
      <c r="AC133" s="205">
        <f t="shared" si="149"/>
        <v>-1.1151824119802454E-2</v>
      </c>
      <c r="AD133" s="200">
        <v>62070</v>
      </c>
      <c r="AE133" s="200"/>
      <c r="AF133" s="203">
        <v>62070</v>
      </c>
      <c r="AG133" s="204">
        <f t="shared" si="150"/>
        <v>0</v>
      </c>
      <c r="AH133" s="304">
        <f t="shared" si="151"/>
        <v>0</v>
      </c>
      <c r="AI133" s="66">
        <v>62070</v>
      </c>
      <c r="AJ133" s="68">
        <v>62070</v>
      </c>
      <c r="AK133" s="68">
        <v>63436</v>
      </c>
      <c r="AM133" s="204">
        <f t="shared" si="152"/>
        <v>63436</v>
      </c>
      <c r="AN133" s="200">
        <v>62070</v>
      </c>
      <c r="AO133" s="200">
        <v>62070</v>
      </c>
      <c r="AP133" s="200"/>
      <c r="AQ133" s="200"/>
      <c r="AR133" s="418">
        <f t="shared" si="175"/>
        <v>0</v>
      </c>
      <c r="AS133" s="418">
        <f t="shared" si="176"/>
        <v>66420</v>
      </c>
      <c r="AT133" s="418">
        <f t="shared" si="177"/>
        <v>4350</v>
      </c>
      <c r="AU133" s="205">
        <f t="shared" si="178"/>
        <v>7.008216529724505E-2</v>
      </c>
      <c r="AV133" s="418">
        <f t="shared" si="153"/>
        <v>4350</v>
      </c>
      <c r="AW133" s="485">
        <f t="shared" si="154"/>
        <v>7.008216529724505E-2</v>
      </c>
      <c r="AX133" s="204">
        <v>62920</v>
      </c>
      <c r="AY133" s="204">
        <f t="shared" si="101"/>
        <v>850</v>
      </c>
      <c r="AZ133" s="304">
        <f t="shared" si="102"/>
        <v>1.3694216207507652E-2</v>
      </c>
      <c r="BA133" s="560">
        <v>66420</v>
      </c>
      <c r="BB133" s="591">
        <v>66420</v>
      </c>
      <c r="BC133" s="591">
        <f t="shared" si="179"/>
        <v>0</v>
      </c>
      <c r="BD133" s="397">
        <f t="shared" si="180"/>
        <v>0</v>
      </c>
      <c r="BE133" s="203">
        <v>67362</v>
      </c>
      <c r="BF133" s="626">
        <f t="shared" si="155"/>
        <v>4442</v>
      </c>
      <c r="BG133" s="627">
        <f t="shared" si="156"/>
        <v>7.0597584233947866E-2</v>
      </c>
      <c r="BH133" s="628"/>
      <c r="BI133" s="628"/>
      <c r="BJ133" s="628"/>
      <c r="BK133" s="628"/>
      <c r="BL133" s="561">
        <f t="shared" si="103"/>
        <v>67362</v>
      </c>
      <c r="BM133" s="561">
        <f t="shared" si="157"/>
        <v>942</v>
      </c>
      <c r="BN133" s="561">
        <v>64955</v>
      </c>
      <c r="BO133" s="561">
        <v>64955</v>
      </c>
      <c r="BP133" s="206">
        <f t="shared" si="98"/>
        <v>-2407</v>
      </c>
      <c r="BQ133" s="629">
        <f t="shared" si="158"/>
        <v>1.4182475158084915E-2</v>
      </c>
      <c r="BR133" s="205">
        <f t="shared" si="99"/>
        <v>-3.5732311985986163E-2</v>
      </c>
      <c r="BS133" s="206">
        <v>54</v>
      </c>
      <c r="BV133" s="66">
        <v>0</v>
      </c>
      <c r="BW133" s="207">
        <f t="shared" si="159"/>
        <v>65009</v>
      </c>
      <c r="BX133" s="206">
        <v>64955</v>
      </c>
      <c r="BY133" s="206">
        <v>9850</v>
      </c>
      <c r="BZ133" s="206">
        <v>65555</v>
      </c>
      <c r="CA133" s="206">
        <f t="shared" si="100"/>
        <v>-1807</v>
      </c>
      <c r="CB133" s="199">
        <f t="shared" si="181"/>
        <v>-2.6825213028116742E-2</v>
      </c>
      <c r="CC133" s="206">
        <v>66691</v>
      </c>
      <c r="CD133" s="206">
        <v>66691</v>
      </c>
      <c r="CE133" s="206"/>
      <c r="CF133" s="206">
        <f t="shared" ref="CF133:CF140" si="183">CD133+CE133</f>
        <v>66691</v>
      </c>
      <c r="CG133" s="206">
        <f t="shared" si="160"/>
        <v>1136</v>
      </c>
      <c r="CH133" s="304">
        <f t="shared" si="161"/>
        <v>1.732896041491877E-2</v>
      </c>
      <c r="CI133" s="206">
        <v>72458</v>
      </c>
      <c r="CJ133" s="206"/>
      <c r="CK133" s="206">
        <f t="shared" si="162"/>
        <v>72458</v>
      </c>
      <c r="CL133" s="206">
        <f t="shared" si="95"/>
        <v>5767</v>
      </c>
      <c r="CM133" s="608">
        <f t="shared" si="163"/>
        <v>8.6473437195423664E-2</v>
      </c>
      <c r="CN133" s="204">
        <v>67433</v>
      </c>
      <c r="CO133" s="206">
        <f t="shared" si="96"/>
        <v>-5025</v>
      </c>
      <c r="CP133" s="304">
        <f t="shared" si="97"/>
        <v>-6.9350520301415988E-2</v>
      </c>
    </row>
    <row r="134" spans="1:157" s="68" customFormat="1" ht="18" customHeight="1" x14ac:dyDescent="0.25">
      <c r="A134" s="68" t="s">
        <v>243</v>
      </c>
      <c r="B134" s="416">
        <f>23692+388</f>
        <v>24080</v>
      </c>
      <c r="C134" s="416">
        <f>26491+111</f>
        <v>26602</v>
      </c>
      <c r="D134" s="416">
        <f t="shared" si="164"/>
        <v>2522</v>
      </c>
      <c r="E134" s="563">
        <f t="shared" si="165"/>
        <v>0.10473421926910299</v>
      </c>
      <c r="F134" s="203">
        <f>25904+271</f>
        <v>26175</v>
      </c>
      <c r="G134" s="203">
        <f t="shared" si="166"/>
        <v>-427</v>
      </c>
      <c r="H134" s="362">
        <f t="shared" si="167"/>
        <v>-1.6051424704909407E-2</v>
      </c>
      <c r="I134" s="203">
        <f>25699+268</f>
        <v>25967</v>
      </c>
      <c r="J134" s="203">
        <f t="shared" si="168"/>
        <v>-208</v>
      </c>
      <c r="K134" s="362">
        <f t="shared" si="169"/>
        <v>-7.9465138490926457E-3</v>
      </c>
      <c r="L134" s="423">
        <v>27216</v>
      </c>
      <c r="M134" s="416">
        <v>1249</v>
      </c>
      <c r="N134" s="417">
        <v>4.8099510917703238E-2</v>
      </c>
      <c r="O134" s="423">
        <v>30173</v>
      </c>
      <c r="P134" s="423">
        <f t="shared" si="170"/>
        <v>2957</v>
      </c>
      <c r="Q134" s="420">
        <f>P134/L134</f>
        <v>0.10864932392710171</v>
      </c>
      <c r="R134" s="203">
        <v>34838</v>
      </c>
      <c r="S134" s="423">
        <f t="shared" si="171"/>
        <v>4665</v>
      </c>
      <c r="T134" s="420">
        <f t="shared" si="172"/>
        <v>0.15460842475060485</v>
      </c>
      <c r="U134" s="203">
        <v>42677</v>
      </c>
      <c r="V134" s="423">
        <f t="shared" si="182"/>
        <v>7839</v>
      </c>
      <c r="W134" s="420">
        <f t="shared" si="173"/>
        <v>0.22501291692978931</v>
      </c>
      <c r="X134" s="201">
        <v>44983</v>
      </c>
      <c r="Y134" s="203">
        <f t="shared" si="147"/>
        <v>2306</v>
      </c>
      <c r="Z134" s="484">
        <f t="shared" si="174"/>
        <v>5.4033788691801206E-2</v>
      </c>
      <c r="AA134" s="203">
        <v>45168</v>
      </c>
      <c r="AB134" s="564">
        <f t="shared" si="148"/>
        <v>185</v>
      </c>
      <c r="AC134" s="485">
        <f t="shared" si="149"/>
        <v>4.1126647844741343E-3</v>
      </c>
      <c r="AD134" s="319">
        <v>39904</v>
      </c>
      <c r="AE134" s="319">
        <v>840</v>
      </c>
      <c r="AF134" s="203">
        <v>39573</v>
      </c>
      <c r="AG134" s="203">
        <f t="shared" si="150"/>
        <v>-5595</v>
      </c>
      <c r="AH134" s="397">
        <f t="shared" si="151"/>
        <v>-0.12387088204038257</v>
      </c>
      <c r="AI134" s="319">
        <f>AD134-24</f>
        <v>39880</v>
      </c>
      <c r="AJ134" s="319">
        <f>AF134+281</f>
        <v>39854</v>
      </c>
      <c r="AK134" s="68">
        <v>44046</v>
      </c>
      <c r="AM134" s="203">
        <f t="shared" si="152"/>
        <v>44046</v>
      </c>
      <c r="AN134" s="418">
        <v>35764</v>
      </c>
      <c r="AO134" s="418">
        <v>36757</v>
      </c>
      <c r="AP134" s="319">
        <v>3805</v>
      </c>
      <c r="AQ134" s="418">
        <v>94</v>
      </c>
      <c r="AR134" s="418">
        <f t="shared" si="175"/>
        <v>3899</v>
      </c>
      <c r="AS134" s="418">
        <f t="shared" si="176"/>
        <v>39342.0893</v>
      </c>
      <c r="AT134" s="418">
        <f t="shared" si="177"/>
        <v>-230.91070000000036</v>
      </c>
      <c r="AU134" s="485">
        <f t="shared" si="178"/>
        <v>-5.8350567305991549E-3</v>
      </c>
      <c r="AV134" s="418">
        <f t="shared" si="153"/>
        <v>-230.91070000000036</v>
      </c>
      <c r="AW134" s="485">
        <f t="shared" si="154"/>
        <v>-5.8350567305991549E-3</v>
      </c>
      <c r="AX134" s="423">
        <f>36097</f>
        <v>36097</v>
      </c>
      <c r="AY134" s="203">
        <f t="shared" si="101"/>
        <v>-3476</v>
      </c>
      <c r="AZ134" s="397">
        <f t="shared" si="102"/>
        <v>-8.78376670962525E-2</v>
      </c>
      <c r="BA134" s="591">
        <f>35165.71483+489.4429</f>
        <v>35655.157729999999</v>
      </c>
      <c r="BB134" s="591">
        <f>35088.77918+354.31012</f>
        <v>35443.0893</v>
      </c>
      <c r="BC134" s="591">
        <f t="shared" si="179"/>
        <v>212.06842999999935</v>
      </c>
      <c r="BD134" s="397">
        <f t="shared" si="180"/>
        <v>5.9477630587388055E-3</v>
      </c>
      <c r="BE134" s="423">
        <v>35518</v>
      </c>
      <c r="BF134" s="626">
        <f t="shared" si="155"/>
        <v>-579</v>
      </c>
      <c r="BG134" s="627">
        <f t="shared" si="156"/>
        <v>-1.6040114136908885E-2</v>
      </c>
      <c r="BH134" s="628">
        <v>2947</v>
      </c>
      <c r="BI134" s="628"/>
      <c r="BJ134" s="628"/>
      <c r="BK134" s="628"/>
      <c r="BL134" s="561">
        <f t="shared" si="103"/>
        <v>38465</v>
      </c>
      <c r="BM134" s="561">
        <f t="shared" si="157"/>
        <v>-877.08929999999964</v>
      </c>
      <c r="BN134" s="561">
        <v>40047</v>
      </c>
      <c r="BO134" s="561">
        <v>42547</v>
      </c>
      <c r="BP134" s="206">
        <f t="shared" si="98"/>
        <v>7029</v>
      </c>
      <c r="BQ134" s="629">
        <f t="shared" si="158"/>
        <v>-2.2293917674575552E-2</v>
      </c>
      <c r="BR134" s="205">
        <f t="shared" si="99"/>
        <v>0.19789965651219099</v>
      </c>
      <c r="BS134" s="573">
        <v>2616</v>
      </c>
      <c r="BV134" s="68">
        <v>2.6</v>
      </c>
      <c r="BW134" s="207">
        <f t="shared" si="159"/>
        <v>42665.599999999999</v>
      </c>
      <c r="BX134" s="206">
        <v>42547</v>
      </c>
      <c r="BY134" s="206"/>
      <c r="BZ134" s="206">
        <v>41612</v>
      </c>
      <c r="CA134" s="206">
        <f t="shared" si="100"/>
        <v>6094</v>
      </c>
      <c r="CB134" s="199">
        <f t="shared" si="181"/>
        <v>0.17157497606847233</v>
      </c>
      <c r="CC134" s="573">
        <v>52641</v>
      </c>
      <c r="CD134" s="573">
        <v>52640</v>
      </c>
      <c r="CE134" s="573">
        <v>1000</v>
      </c>
      <c r="CF134" s="206">
        <v>53401</v>
      </c>
      <c r="CG134" s="206">
        <f t="shared" si="160"/>
        <v>11789</v>
      </c>
      <c r="CH134" s="304">
        <f t="shared" si="161"/>
        <v>0.28330769970200903</v>
      </c>
      <c r="CI134" s="573">
        <v>56825</v>
      </c>
      <c r="CJ134" s="573"/>
      <c r="CK134" s="573">
        <f t="shared" si="162"/>
        <v>56825</v>
      </c>
      <c r="CL134" s="206">
        <f t="shared" si="95"/>
        <v>3424</v>
      </c>
      <c r="CM134" s="608">
        <f t="shared" si="163"/>
        <v>6.4118649463493188E-2</v>
      </c>
      <c r="CN134" s="423">
        <v>54715</v>
      </c>
      <c r="CO134" s="206">
        <f t="shared" si="96"/>
        <v>-2110</v>
      </c>
      <c r="CP134" s="304">
        <f t="shared" si="97"/>
        <v>-3.7131544214694237E-2</v>
      </c>
    </row>
    <row r="135" spans="1:157" s="317" customFormat="1" ht="18" customHeight="1" x14ac:dyDescent="0.25">
      <c r="A135" s="317" t="s">
        <v>244</v>
      </c>
      <c r="B135" s="415" t="s">
        <v>132</v>
      </c>
      <c r="C135" s="415" t="s">
        <v>132</v>
      </c>
      <c r="D135" s="415" t="s">
        <v>132</v>
      </c>
      <c r="E135" s="415" t="s">
        <v>132</v>
      </c>
      <c r="F135" s="415" t="s">
        <v>132</v>
      </c>
      <c r="G135" s="415" t="s">
        <v>132</v>
      </c>
      <c r="H135" s="415" t="s">
        <v>132</v>
      </c>
      <c r="I135" s="415" t="s">
        <v>132</v>
      </c>
      <c r="J135" s="415" t="s">
        <v>132</v>
      </c>
      <c r="K135" s="415" t="s">
        <v>132</v>
      </c>
      <c r="L135" s="315">
        <v>0</v>
      </c>
      <c r="M135" s="416">
        <v>0</v>
      </c>
      <c r="N135" s="417" t="s">
        <v>132</v>
      </c>
      <c r="O135" s="315">
        <v>0</v>
      </c>
      <c r="P135" s="315">
        <f t="shared" si="170"/>
        <v>0</v>
      </c>
      <c r="Q135" s="395" t="s">
        <v>132</v>
      </c>
      <c r="R135" s="315">
        <v>0</v>
      </c>
      <c r="S135" s="315">
        <f t="shared" si="171"/>
        <v>0</v>
      </c>
      <c r="T135" s="395" t="s">
        <v>132</v>
      </c>
      <c r="U135" s="613">
        <v>0</v>
      </c>
      <c r="V135" s="315">
        <f t="shared" si="182"/>
        <v>0</v>
      </c>
      <c r="W135" s="395" t="s">
        <v>132</v>
      </c>
      <c r="X135" s="463">
        <v>1719</v>
      </c>
      <c r="Y135" s="204">
        <f t="shared" si="147"/>
        <v>1719</v>
      </c>
      <c r="Z135" s="395" t="s">
        <v>132</v>
      </c>
      <c r="AA135" s="203">
        <v>3460</v>
      </c>
      <c r="AB135" s="374">
        <f t="shared" si="148"/>
        <v>1741</v>
      </c>
      <c r="AC135" s="205">
        <f t="shared" si="149"/>
        <v>1.0127981384525888</v>
      </c>
      <c r="AD135" s="318">
        <v>1660</v>
      </c>
      <c r="AE135" s="318">
        <v>1976</v>
      </c>
      <c r="AF135" s="203">
        <v>1605</v>
      </c>
      <c r="AG135" s="204">
        <f t="shared" si="150"/>
        <v>-1855</v>
      </c>
      <c r="AH135" s="304">
        <f t="shared" si="151"/>
        <v>-0.53612716763005785</v>
      </c>
      <c r="AI135" s="317">
        <v>1660</v>
      </c>
      <c r="AJ135" s="68">
        <v>3636</v>
      </c>
      <c r="AK135" s="68">
        <v>1662</v>
      </c>
      <c r="AM135" s="204">
        <f t="shared" si="152"/>
        <v>1662</v>
      </c>
      <c r="AN135" s="200">
        <v>1468</v>
      </c>
      <c r="AO135" s="200">
        <v>3637</v>
      </c>
      <c r="AP135" s="318"/>
      <c r="AQ135" s="318"/>
      <c r="AR135" s="418">
        <f t="shared" si="175"/>
        <v>0</v>
      </c>
      <c r="AS135" s="418">
        <f t="shared" si="176"/>
        <v>1303.9581000000001</v>
      </c>
      <c r="AT135" s="418">
        <f t="shared" si="177"/>
        <v>-301.04189999999994</v>
      </c>
      <c r="AU135" s="205">
        <f t="shared" si="178"/>
        <v>-0.18756504672897192</v>
      </c>
      <c r="AV135" s="418">
        <f t="shared" si="153"/>
        <v>-301.04189999999994</v>
      </c>
      <c r="AW135" s="485">
        <f t="shared" si="154"/>
        <v>-0.18756504672897192</v>
      </c>
      <c r="AX135" s="315">
        <v>3490</v>
      </c>
      <c r="AY135" s="204">
        <f t="shared" si="101"/>
        <v>1885</v>
      </c>
      <c r="AZ135" s="304">
        <f t="shared" si="102"/>
        <v>1.1744548286604362</v>
      </c>
      <c r="BA135" s="560">
        <v>1321</v>
      </c>
      <c r="BB135" s="591">
        <v>1303.9581000000001</v>
      </c>
      <c r="BC135" s="591">
        <f t="shared" si="179"/>
        <v>17.041899999999941</v>
      </c>
      <c r="BD135" s="397">
        <f t="shared" si="180"/>
        <v>1.2900757002270962E-2</v>
      </c>
      <c r="BE135" s="423">
        <v>1065</v>
      </c>
      <c r="BF135" s="626">
        <f t="shared" si="155"/>
        <v>-2425</v>
      </c>
      <c r="BG135" s="627">
        <f t="shared" si="156"/>
        <v>-0.69484240687679089</v>
      </c>
      <c r="BH135" s="628"/>
      <c r="BI135" s="628"/>
      <c r="BJ135" s="628"/>
      <c r="BK135" s="628"/>
      <c r="BL135" s="561">
        <f t="shared" si="103"/>
        <v>1065</v>
      </c>
      <c r="BM135" s="561">
        <f t="shared" si="157"/>
        <v>-238.95810000000006</v>
      </c>
      <c r="BN135" s="561">
        <v>3495</v>
      </c>
      <c r="BO135" s="561">
        <v>3495</v>
      </c>
      <c r="BP135" s="206">
        <f t="shared" si="98"/>
        <v>2430</v>
      </c>
      <c r="BQ135" s="629">
        <f t="shared" si="158"/>
        <v>-0.18325596504979727</v>
      </c>
      <c r="BR135" s="205">
        <f t="shared" si="99"/>
        <v>2.2816901408450705</v>
      </c>
      <c r="BS135" s="413"/>
      <c r="BW135" s="207">
        <f t="shared" si="159"/>
        <v>3495</v>
      </c>
      <c r="BX135" s="206">
        <v>3495</v>
      </c>
      <c r="BY135" s="206"/>
      <c r="BZ135" s="206">
        <v>1076</v>
      </c>
      <c r="CA135" s="206">
        <f t="shared" si="100"/>
        <v>11</v>
      </c>
      <c r="CB135" s="199">
        <f t="shared" si="181"/>
        <v>1.0328638497652582E-2</v>
      </c>
      <c r="CC135" s="413">
        <v>4134</v>
      </c>
      <c r="CD135" s="413">
        <v>4209</v>
      </c>
      <c r="CE135" s="413"/>
      <c r="CF135" s="206">
        <v>1159</v>
      </c>
      <c r="CG135" s="206">
        <f t="shared" si="160"/>
        <v>83</v>
      </c>
      <c r="CH135" s="304">
        <f t="shared" si="161"/>
        <v>7.7137546468401486E-2</v>
      </c>
      <c r="CI135" s="413">
        <v>6741</v>
      </c>
      <c r="CJ135" s="413"/>
      <c r="CK135" s="413">
        <f t="shared" si="162"/>
        <v>6741</v>
      </c>
      <c r="CL135" s="206">
        <f t="shared" si="95"/>
        <v>5582</v>
      </c>
      <c r="CM135" s="608">
        <f t="shared" si="163"/>
        <v>4.8162208800690252</v>
      </c>
      <c r="CN135" s="315">
        <v>8000</v>
      </c>
      <c r="CO135" s="206">
        <f t="shared" si="96"/>
        <v>1259</v>
      </c>
      <c r="CP135" s="304">
        <f t="shared" si="97"/>
        <v>0.18676754190772882</v>
      </c>
    </row>
    <row r="136" spans="1:157" s="317" customFormat="1" ht="18" customHeight="1" x14ac:dyDescent="0.25">
      <c r="A136" s="68" t="s">
        <v>186</v>
      </c>
      <c r="B136" s="302">
        <v>2023</v>
      </c>
      <c r="C136" s="302">
        <f>1854+42</f>
        <v>1896</v>
      </c>
      <c r="D136" s="416">
        <f>C136-B136</f>
        <v>-127</v>
      </c>
      <c r="E136" s="563">
        <f>(C136-B136)/B136</f>
        <v>-6.2778052397429562E-2</v>
      </c>
      <c r="F136" s="317">
        <f>1736+431</f>
        <v>2167</v>
      </c>
      <c r="G136" s="204">
        <f>F136-C136</f>
        <v>271</v>
      </c>
      <c r="H136" s="199">
        <f>(F136-C136)/C136</f>
        <v>0.1429324894514768</v>
      </c>
      <c r="I136" s="317">
        <f>1691+327</f>
        <v>2018</v>
      </c>
      <c r="J136" s="204">
        <f>I136-F136</f>
        <v>-149</v>
      </c>
      <c r="K136" s="199">
        <f>(I136-F136)/F136</f>
        <v>-6.8758652514997687E-2</v>
      </c>
      <c r="L136" s="315"/>
      <c r="M136" s="416"/>
      <c r="N136" s="417"/>
      <c r="O136" s="315"/>
      <c r="P136" s="315"/>
      <c r="Q136" s="395"/>
      <c r="R136" s="315"/>
      <c r="S136" s="315"/>
      <c r="T136" s="395"/>
      <c r="U136" s="613"/>
      <c r="V136" s="315"/>
      <c r="W136" s="395"/>
      <c r="X136" s="463"/>
      <c r="Y136" s="204"/>
      <c r="Z136" s="395"/>
      <c r="AA136" s="203"/>
      <c r="AB136" s="374"/>
      <c r="AC136" s="205"/>
      <c r="AD136" s="318"/>
      <c r="AE136" s="318"/>
      <c r="AF136" s="203"/>
      <c r="AG136" s="203"/>
      <c r="AH136" s="397"/>
      <c r="AI136" s="68"/>
      <c r="AJ136" s="68"/>
      <c r="AK136" s="68"/>
      <c r="AL136" s="68"/>
      <c r="AM136" s="203"/>
      <c r="AN136" s="418"/>
      <c r="AO136" s="418"/>
      <c r="AP136" s="319"/>
      <c r="AQ136" s="319"/>
      <c r="AR136" s="418">
        <f t="shared" si="175"/>
        <v>0</v>
      </c>
      <c r="AS136" s="418">
        <f t="shared" si="176"/>
        <v>0</v>
      </c>
      <c r="AT136" s="418">
        <f t="shared" si="177"/>
        <v>0</v>
      </c>
      <c r="AU136" s="205" t="e">
        <f t="shared" si="178"/>
        <v>#DIV/0!</v>
      </c>
      <c r="AV136" s="418"/>
      <c r="AW136" s="485"/>
      <c r="AX136" s="423"/>
      <c r="AY136" s="203">
        <f t="shared" si="101"/>
        <v>0</v>
      </c>
      <c r="AZ136" s="397" t="e">
        <f t="shared" si="102"/>
        <v>#DIV/0!</v>
      </c>
      <c r="BA136" s="397"/>
      <c r="BB136" s="397"/>
      <c r="BC136" s="591"/>
      <c r="BD136" s="397"/>
      <c r="BE136" s="423"/>
      <c r="BF136" s="626"/>
      <c r="BG136" s="627"/>
      <c r="BH136" s="628"/>
      <c r="BI136" s="628"/>
      <c r="BJ136" s="628"/>
      <c r="BK136" s="628"/>
      <c r="BL136" s="561"/>
      <c r="BM136" s="561"/>
      <c r="BN136" s="561"/>
      <c r="BO136" s="561"/>
      <c r="BP136" s="206"/>
      <c r="BQ136" s="199"/>
      <c r="BR136" s="205"/>
      <c r="BS136" s="413"/>
      <c r="BW136" s="207"/>
      <c r="BX136" s="206"/>
      <c r="BY136" s="206"/>
      <c r="BZ136" s="206"/>
      <c r="CA136" s="206"/>
      <c r="CB136" s="199"/>
      <c r="CC136" s="413"/>
      <c r="CD136" s="413"/>
      <c r="CE136" s="413"/>
      <c r="CF136" s="206">
        <v>14935</v>
      </c>
      <c r="CG136" s="206">
        <f t="shared" si="160"/>
        <v>14935</v>
      </c>
      <c r="CH136" s="304" t="e">
        <f t="shared" si="161"/>
        <v>#DIV/0!</v>
      </c>
      <c r="CI136" s="413">
        <v>15803</v>
      </c>
      <c r="CJ136" s="413">
        <v>-1000</v>
      </c>
      <c r="CK136" s="413">
        <f t="shared" si="162"/>
        <v>14803</v>
      </c>
      <c r="CL136" s="206">
        <f t="shared" si="95"/>
        <v>-132</v>
      </c>
      <c r="CM136" s="608">
        <f t="shared" si="163"/>
        <v>-8.8382992969534644E-3</v>
      </c>
      <c r="CN136" s="315">
        <v>15196</v>
      </c>
      <c r="CO136" s="206">
        <f t="shared" si="96"/>
        <v>393</v>
      </c>
      <c r="CP136" s="304">
        <f t="shared" si="97"/>
        <v>2.6548672566371681E-2</v>
      </c>
    </row>
    <row r="137" spans="1:157" s="148" customFormat="1" ht="18" customHeight="1" x14ac:dyDescent="0.25">
      <c r="A137" s="68" t="s">
        <v>245</v>
      </c>
      <c r="B137" s="625" t="s">
        <v>132</v>
      </c>
      <c r="C137" s="625" t="s">
        <v>132</v>
      </c>
      <c r="D137" s="625" t="s">
        <v>132</v>
      </c>
      <c r="E137" s="625" t="s">
        <v>132</v>
      </c>
      <c r="F137" s="625" t="s">
        <v>132</v>
      </c>
      <c r="G137" s="625" t="s">
        <v>132</v>
      </c>
      <c r="H137" s="625" t="s">
        <v>132</v>
      </c>
      <c r="I137" s="625" t="s">
        <v>132</v>
      </c>
      <c r="J137" s="625" t="s">
        <v>132</v>
      </c>
      <c r="K137" s="625" t="s">
        <v>132</v>
      </c>
      <c r="L137" s="423"/>
      <c r="M137" s="416"/>
      <c r="N137" s="417"/>
      <c r="O137" s="423"/>
      <c r="P137" s="423"/>
      <c r="Q137" s="417"/>
      <c r="R137" s="423"/>
      <c r="S137" s="423"/>
      <c r="T137" s="417"/>
      <c r="U137" s="630">
        <v>1281</v>
      </c>
      <c r="V137" s="423"/>
      <c r="W137" s="417"/>
      <c r="X137" s="201">
        <v>34981</v>
      </c>
      <c r="Y137" s="203">
        <f t="shared" si="147"/>
        <v>33700</v>
      </c>
      <c r="Z137" s="484">
        <f>Y137/U137</f>
        <v>26.307572209211553</v>
      </c>
      <c r="AA137" s="203">
        <v>38306</v>
      </c>
      <c r="AB137" s="564">
        <f t="shared" si="148"/>
        <v>3325</v>
      </c>
      <c r="AC137" s="485">
        <f t="shared" si="149"/>
        <v>9.5051599439695836E-2</v>
      </c>
      <c r="AD137" s="418">
        <v>28914</v>
      </c>
      <c r="AE137" s="418">
        <v>3286</v>
      </c>
      <c r="AF137" s="203">
        <v>31437</v>
      </c>
      <c r="AG137" s="203">
        <f t="shared" si="150"/>
        <v>-6869</v>
      </c>
      <c r="AH137" s="397">
        <f t="shared" si="151"/>
        <v>-0.17931916671017595</v>
      </c>
      <c r="AI137" s="418">
        <f>AD137-146</f>
        <v>28768</v>
      </c>
      <c r="AJ137" s="319">
        <f>AF137+276</f>
        <v>31713</v>
      </c>
      <c r="AK137" s="68">
        <v>29316</v>
      </c>
      <c r="AL137" s="68"/>
      <c r="AM137" s="203">
        <f t="shared" si="152"/>
        <v>29316</v>
      </c>
      <c r="AN137" s="418">
        <v>26203</v>
      </c>
      <c r="AO137" s="418">
        <v>27653</v>
      </c>
      <c r="AP137" s="319">
        <v>535</v>
      </c>
      <c r="AQ137" s="418"/>
      <c r="AR137" s="418">
        <f t="shared" si="175"/>
        <v>535</v>
      </c>
      <c r="AS137" s="418">
        <f>BB137+AR137</f>
        <v>27469.85614</v>
      </c>
      <c r="AT137" s="418">
        <f t="shared" si="177"/>
        <v>-3967.1438600000001</v>
      </c>
      <c r="AU137" s="485">
        <f t="shared" si="178"/>
        <v>-0.12619346184432356</v>
      </c>
      <c r="AV137" s="418">
        <f t="shared" si="153"/>
        <v>-3967.1438600000001</v>
      </c>
      <c r="AW137" s="485">
        <f t="shared" si="154"/>
        <v>-0.12619346184432356</v>
      </c>
      <c r="AX137" s="423">
        <f>27641+19850</f>
        <v>47491</v>
      </c>
      <c r="AY137" s="203">
        <f t="shared" si="101"/>
        <v>16054</v>
      </c>
      <c r="AZ137" s="397">
        <f t="shared" si="102"/>
        <v>0.5106721379266469</v>
      </c>
      <c r="BA137" s="560">
        <f>26454.38259+1438.07732</f>
        <v>27892.459910000001</v>
      </c>
      <c r="BB137" s="591">
        <f>25543.11958+1391.73656</f>
        <v>26934.85614</v>
      </c>
      <c r="BC137" s="591">
        <f t="shared" si="179"/>
        <v>957.60377000000153</v>
      </c>
      <c r="BD137" s="397">
        <f t="shared" si="180"/>
        <v>3.4331994133535763E-2</v>
      </c>
      <c r="BE137" s="203">
        <v>42701</v>
      </c>
      <c r="BF137" s="626">
        <f t="shared" si="155"/>
        <v>-4790</v>
      </c>
      <c r="BG137" s="627">
        <f t="shared" si="156"/>
        <v>-0.10086121580931123</v>
      </c>
      <c r="BH137" s="628">
        <v>427</v>
      </c>
      <c r="BI137" s="628"/>
      <c r="BJ137" s="628"/>
      <c r="BK137" s="628"/>
      <c r="BL137" s="561">
        <f t="shared" si="103"/>
        <v>43128</v>
      </c>
      <c r="BM137" s="561">
        <f t="shared" si="157"/>
        <v>15658.14386</v>
      </c>
      <c r="BN137" s="561">
        <v>47782</v>
      </c>
      <c r="BO137" s="561">
        <v>47782</v>
      </c>
      <c r="BP137" s="206">
        <f t="shared" si="98"/>
        <v>5081</v>
      </c>
      <c r="BQ137" s="629">
        <f t="shared" si="158"/>
        <v>0.57001186246474456</v>
      </c>
      <c r="BR137" s="205">
        <f t="shared" si="99"/>
        <v>0.11899018758342896</v>
      </c>
      <c r="BS137" s="309">
        <v>392</v>
      </c>
      <c r="BV137" s="148">
        <v>2.1</v>
      </c>
      <c r="BW137" s="207">
        <f t="shared" si="159"/>
        <v>48176.1</v>
      </c>
      <c r="BX137" s="206">
        <v>43276</v>
      </c>
      <c r="BY137" s="206"/>
      <c r="BZ137" s="206">
        <v>42793</v>
      </c>
      <c r="CA137" s="206">
        <f t="shared" si="100"/>
        <v>92</v>
      </c>
      <c r="CB137" s="199">
        <f t="shared" si="181"/>
        <v>2.1545162876747616E-3</v>
      </c>
      <c r="CC137" s="309">
        <v>46347</v>
      </c>
      <c r="CD137" s="309">
        <v>45503</v>
      </c>
      <c r="CE137" s="309"/>
      <c r="CF137" s="206">
        <v>45189</v>
      </c>
      <c r="CG137" s="206">
        <f t="shared" si="160"/>
        <v>2396</v>
      </c>
      <c r="CH137" s="304">
        <f t="shared" si="161"/>
        <v>5.5990465730376464E-2</v>
      </c>
      <c r="CI137" s="309">
        <v>31916</v>
      </c>
      <c r="CJ137" s="309"/>
      <c r="CK137" s="309">
        <f t="shared" si="162"/>
        <v>31916</v>
      </c>
      <c r="CL137" s="206">
        <f t="shared" si="95"/>
        <v>-13273</v>
      </c>
      <c r="CM137" s="608">
        <f t="shared" si="163"/>
        <v>-0.29372192347695236</v>
      </c>
      <c r="CN137" s="203">
        <v>31616</v>
      </c>
      <c r="CO137" s="206">
        <f t="shared" si="96"/>
        <v>-300</v>
      </c>
      <c r="CP137" s="304">
        <f t="shared" si="97"/>
        <v>-9.3996741446296522E-3</v>
      </c>
    </row>
    <row r="138" spans="1:157" ht="18" customHeight="1" x14ac:dyDescent="0.25">
      <c r="A138" s="317" t="s">
        <v>246</v>
      </c>
      <c r="B138" s="415" t="s">
        <v>132</v>
      </c>
      <c r="C138" s="415" t="s">
        <v>132</v>
      </c>
      <c r="D138" s="415" t="s">
        <v>132</v>
      </c>
      <c r="E138" s="415" t="s">
        <v>132</v>
      </c>
      <c r="F138" s="415" t="s">
        <v>132</v>
      </c>
      <c r="G138" s="415" t="s">
        <v>132</v>
      </c>
      <c r="H138" s="415" t="s">
        <v>132</v>
      </c>
      <c r="I138" s="415" t="s">
        <v>132</v>
      </c>
      <c r="J138" s="415" t="s">
        <v>132</v>
      </c>
      <c r="K138" s="415" t="s">
        <v>132</v>
      </c>
      <c r="L138" s="315"/>
      <c r="M138" s="416"/>
      <c r="N138" s="417"/>
      <c r="O138" s="315"/>
      <c r="P138" s="315"/>
      <c r="Q138" s="395"/>
      <c r="R138" s="315"/>
      <c r="S138" s="315"/>
      <c r="T138" s="395"/>
      <c r="U138" s="613">
        <v>0</v>
      </c>
      <c r="V138" s="315"/>
      <c r="W138" s="395"/>
      <c r="X138" s="201">
        <v>0</v>
      </c>
      <c r="Y138" s="204">
        <f t="shared" si="147"/>
        <v>0</v>
      </c>
      <c r="Z138" s="395" t="s">
        <v>132</v>
      </c>
      <c r="AA138" s="203">
        <v>141700</v>
      </c>
      <c r="AB138" s="374">
        <f t="shared" si="148"/>
        <v>141700</v>
      </c>
      <c r="AC138" s="395" t="s">
        <v>132</v>
      </c>
      <c r="AD138" s="200">
        <v>149100</v>
      </c>
      <c r="AE138" s="200"/>
      <c r="AF138" s="203">
        <v>166568</v>
      </c>
      <c r="AG138" s="204">
        <f t="shared" si="150"/>
        <v>24868</v>
      </c>
      <c r="AH138" s="304">
        <f t="shared" si="151"/>
        <v>0.17549752999294282</v>
      </c>
      <c r="AI138" s="200">
        <f>AD138+23515</f>
        <v>172615</v>
      </c>
      <c r="AJ138" s="319">
        <f>AF138+23515</f>
        <v>190083</v>
      </c>
      <c r="AK138" s="68">
        <v>200600</v>
      </c>
      <c r="AM138" s="204">
        <f t="shared" si="152"/>
        <v>200600</v>
      </c>
      <c r="AN138" s="200">
        <v>179891</v>
      </c>
      <c r="AO138" s="200">
        <v>179891</v>
      </c>
      <c r="AP138" s="200"/>
      <c r="AQ138" s="200"/>
      <c r="AR138" s="418">
        <f t="shared" si="175"/>
        <v>0</v>
      </c>
      <c r="AS138" s="418">
        <f t="shared" si="176"/>
        <v>135239.86283999999</v>
      </c>
      <c r="AT138" s="418">
        <f t="shared" si="177"/>
        <v>-31328.137160000013</v>
      </c>
      <c r="AU138" s="205">
        <f t="shared" si="178"/>
        <v>-0.18808016641851985</v>
      </c>
      <c r="AV138" s="418">
        <f t="shared" si="153"/>
        <v>-31328.137160000013</v>
      </c>
      <c r="AW138" s="485">
        <f t="shared" si="154"/>
        <v>-0.18808016641851985</v>
      </c>
      <c r="AX138" s="423">
        <v>158017</v>
      </c>
      <c r="AY138" s="204">
        <f t="shared" si="101"/>
        <v>-8551</v>
      </c>
      <c r="AZ138" s="304">
        <f t="shared" si="102"/>
        <v>-5.1336391143556988E-2</v>
      </c>
      <c r="BA138" s="560">
        <v>145819.20480000001</v>
      </c>
      <c r="BB138" s="591">
        <v>135239.86283999999</v>
      </c>
      <c r="BC138" s="591">
        <f t="shared" si="179"/>
        <v>10579.34196000002</v>
      </c>
      <c r="BD138" s="397">
        <f t="shared" si="180"/>
        <v>7.2551088003190226E-2</v>
      </c>
      <c r="BE138" s="423">
        <v>119622</v>
      </c>
      <c r="BF138" s="626">
        <f t="shared" si="155"/>
        <v>-38395</v>
      </c>
      <c r="BG138" s="627">
        <f t="shared" si="156"/>
        <v>-0.2429801856762247</v>
      </c>
      <c r="BH138" s="628"/>
      <c r="BI138" s="628"/>
      <c r="BJ138" s="628"/>
      <c r="BK138" s="628"/>
      <c r="BL138" s="561">
        <f t="shared" si="103"/>
        <v>119622</v>
      </c>
      <c r="BM138" s="561">
        <f t="shared" si="157"/>
        <v>-15617.862839999987</v>
      </c>
      <c r="BN138" s="561">
        <v>109941</v>
      </c>
      <c r="BO138" s="561">
        <v>109941</v>
      </c>
      <c r="BP138" s="206">
        <f t="shared" si="98"/>
        <v>-9681</v>
      </c>
      <c r="BQ138" s="629">
        <f t="shared" si="158"/>
        <v>-0.11548268766345333</v>
      </c>
      <c r="BR138" s="205">
        <f t="shared" si="99"/>
        <v>-8.0929929277223256E-2</v>
      </c>
      <c r="BW138" s="207">
        <f t="shared" si="159"/>
        <v>109941</v>
      </c>
      <c r="BX138" s="206">
        <v>109941</v>
      </c>
      <c r="BY138" s="206"/>
      <c r="BZ138" s="206">
        <v>84086</v>
      </c>
      <c r="CA138" s="206">
        <f t="shared" si="100"/>
        <v>-35536</v>
      </c>
      <c r="CB138" s="199">
        <f t="shared" si="181"/>
        <v>-0.29706910100148803</v>
      </c>
      <c r="CC138" s="206">
        <v>80000</v>
      </c>
      <c r="CD138" s="206">
        <v>79868</v>
      </c>
      <c r="CE138" s="206"/>
      <c r="CF138" s="206">
        <v>77413</v>
      </c>
      <c r="CG138" s="206">
        <f t="shared" si="160"/>
        <v>-6673</v>
      </c>
      <c r="CH138" s="304">
        <f t="shared" si="161"/>
        <v>-7.9359227457602932E-2</v>
      </c>
      <c r="CI138" s="206">
        <v>74340</v>
      </c>
      <c r="CJ138" s="206"/>
      <c r="CK138" s="206">
        <f t="shared" si="162"/>
        <v>74340</v>
      </c>
      <c r="CL138" s="206">
        <f t="shared" si="95"/>
        <v>-3073</v>
      </c>
      <c r="CM138" s="608">
        <f t="shared" si="163"/>
        <v>-3.969617506103626E-2</v>
      </c>
      <c r="CN138" s="204">
        <v>74415</v>
      </c>
      <c r="CO138" s="206">
        <f t="shared" si="96"/>
        <v>75</v>
      </c>
      <c r="CP138" s="304">
        <f t="shared" si="97"/>
        <v>1.0088781275221952E-3</v>
      </c>
    </row>
    <row r="139" spans="1:157" ht="18" customHeight="1" x14ac:dyDescent="0.25">
      <c r="A139" s="317" t="s">
        <v>247</v>
      </c>
      <c r="B139" s="415" t="s">
        <v>132</v>
      </c>
      <c r="C139" s="415" t="s">
        <v>132</v>
      </c>
      <c r="D139" s="415" t="s">
        <v>132</v>
      </c>
      <c r="E139" s="415" t="s">
        <v>132</v>
      </c>
      <c r="F139" s="415" t="s">
        <v>132</v>
      </c>
      <c r="G139" s="415" t="s">
        <v>132</v>
      </c>
      <c r="H139" s="415" t="s">
        <v>132</v>
      </c>
      <c r="I139" s="415" t="s">
        <v>132</v>
      </c>
      <c r="J139" s="415" t="s">
        <v>132</v>
      </c>
      <c r="K139" s="415" t="s">
        <v>132</v>
      </c>
      <c r="L139" s="317"/>
      <c r="M139" s="317"/>
      <c r="N139" s="317"/>
      <c r="O139" s="317"/>
      <c r="P139" s="317"/>
      <c r="Q139" s="317"/>
      <c r="R139" s="317"/>
      <c r="S139" s="317"/>
      <c r="T139" s="317"/>
      <c r="U139" s="317">
        <v>0</v>
      </c>
      <c r="V139" s="317"/>
      <c r="W139" s="317"/>
      <c r="X139" s="463">
        <v>171</v>
      </c>
      <c r="Y139" s="204">
        <f t="shared" si="147"/>
        <v>171</v>
      </c>
      <c r="Z139" s="395" t="s">
        <v>132</v>
      </c>
      <c r="AA139" s="203">
        <v>75558</v>
      </c>
      <c r="AB139" s="374">
        <f t="shared" si="148"/>
        <v>75387</v>
      </c>
      <c r="AC139" s="205">
        <f>AB139/X139</f>
        <v>440.85964912280701</v>
      </c>
      <c r="AD139" s="200">
        <v>77431</v>
      </c>
      <c r="AE139" s="200"/>
      <c r="AF139" s="203">
        <v>93373</v>
      </c>
      <c r="AG139" s="204">
        <f t="shared" si="150"/>
        <v>17815</v>
      </c>
      <c r="AH139" s="304">
        <f t="shared" si="151"/>
        <v>0.23577913655734667</v>
      </c>
      <c r="AI139" s="200">
        <f>AD139+15851</f>
        <v>93282</v>
      </c>
      <c r="AJ139" s="319">
        <f>AF139+15851</f>
        <v>109224</v>
      </c>
      <c r="AK139" s="68">
        <v>87135</v>
      </c>
      <c r="AM139" s="204">
        <f t="shared" si="152"/>
        <v>87135</v>
      </c>
      <c r="AN139" s="200">
        <v>89171</v>
      </c>
      <c r="AO139" s="200">
        <v>89171</v>
      </c>
      <c r="AP139" s="200"/>
      <c r="AQ139" s="200"/>
      <c r="AR139" s="418">
        <f t="shared" si="175"/>
        <v>0</v>
      </c>
      <c r="AS139" s="418">
        <f t="shared" si="176"/>
        <v>95972.694640000002</v>
      </c>
      <c r="AT139" s="418">
        <f t="shared" si="177"/>
        <v>2599.6946400000015</v>
      </c>
      <c r="AU139" s="205">
        <f t="shared" si="178"/>
        <v>2.7842038276589608E-2</v>
      </c>
      <c r="AV139" s="418">
        <f t="shared" si="153"/>
        <v>2599.6946400000015</v>
      </c>
      <c r="AW139" s="485">
        <f t="shared" si="154"/>
        <v>2.7842038276589608E-2</v>
      </c>
      <c r="AX139" s="423">
        <v>93604</v>
      </c>
      <c r="AY139" s="204">
        <f t="shared" si="101"/>
        <v>231</v>
      </c>
      <c r="AZ139" s="304">
        <f t="shared" si="102"/>
        <v>2.4739485718569608E-3</v>
      </c>
      <c r="BA139" s="560">
        <v>96778.843150000001</v>
      </c>
      <c r="BB139" s="591">
        <v>95972.694640000002</v>
      </c>
      <c r="BC139" s="591">
        <f>BA139-BB139</f>
        <v>806.14850999999908</v>
      </c>
      <c r="BD139" s="397">
        <f t="shared" si="180"/>
        <v>8.3298010573501988E-3</v>
      </c>
      <c r="BE139" s="423">
        <v>93059</v>
      </c>
      <c r="BF139" s="626">
        <f t="shared" si="155"/>
        <v>-545</v>
      </c>
      <c r="BG139" s="627">
        <f t="shared" si="156"/>
        <v>-5.8224007521046105E-3</v>
      </c>
      <c r="BH139" s="628"/>
      <c r="BI139" s="628"/>
      <c r="BJ139" s="628"/>
      <c r="BK139" s="628">
        <v>55</v>
      </c>
      <c r="BL139" s="561">
        <f t="shared" si="103"/>
        <v>93114</v>
      </c>
      <c r="BM139" s="561">
        <f t="shared" si="157"/>
        <v>-2858.6946400000015</v>
      </c>
      <c r="BN139" s="561">
        <v>91190</v>
      </c>
      <c r="BO139" s="561">
        <v>91190</v>
      </c>
      <c r="BP139" s="206">
        <f t="shared" si="98"/>
        <v>-1869</v>
      </c>
      <c r="BQ139" s="629">
        <f t="shared" si="158"/>
        <v>-2.9786541377452787E-2</v>
      </c>
      <c r="BR139" s="205">
        <f t="shared" si="99"/>
        <v>-2.0084032710431018E-2</v>
      </c>
      <c r="BW139" s="207">
        <f t="shared" si="159"/>
        <v>91190</v>
      </c>
      <c r="BX139" s="206">
        <v>91190</v>
      </c>
      <c r="BY139" s="206"/>
      <c r="BZ139" s="206">
        <v>89738</v>
      </c>
      <c r="CA139" s="206">
        <f t="shared" si="100"/>
        <v>-3321</v>
      </c>
      <c r="CB139" s="199">
        <f t="shared" si="181"/>
        <v>-3.568703725593441E-2</v>
      </c>
      <c r="CC139" s="206">
        <v>86688</v>
      </c>
      <c r="CD139" s="206">
        <v>86688</v>
      </c>
      <c r="CE139" s="206"/>
      <c r="CF139" s="206">
        <v>86052</v>
      </c>
      <c r="CG139" s="206">
        <f t="shared" si="160"/>
        <v>-3686</v>
      </c>
      <c r="CH139" s="304">
        <f t="shared" si="161"/>
        <v>-4.1075129822371791E-2</v>
      </c>
      <c r="CI139" s="206">
        <v>93562</v>
      </c>
      <c r="CJ139" s="206">
        <v>-2850</v>
      </c>
      <c r="CK139" s="206">
        <f t="shared" si="162"/>
        <v>90712</v>
      </c>
      <c r="CL139" s="206">
        <f t="shared" ref="CL139:CL200" si="184">CK139-CF139</f>
        <v>4660</v>
      </c>
      <c r="CM139" s="608">
        <f t="shared" si="163"/>
        <v>5.4153302654209083E-2</v>
      </c>
      <c r="CN139" s="204">
        <v>93805</v>
      </c>
      <c r="CO139" s="206">
        <f t="shared" ref="CO139:CO202" si="185">CN139-CK139</f>
        <v>3093</v>
      </c>
      <c r="CP139" s="304">
        <f t="shared" ref="CP139:CP202" si="186">CO139/CK139</f>
        <v>3.4096922127171705E-2</v>
      </c>
    </row>
    <row r="140" spans="1:157" s="325" customFormat="1" ht="18" customHeight="1" thickBot="1" x14ac:dyDescent="0.3">
      <c r="A140" s="68" t="s">
        <v>248</v>
      </c>
      <c r="B140" s="303" t="s">
        <v>132</v>
      </c>
      <c r="C140" s="303" t="s">
        <v>132</v>
      </c>
      <c r="D140" s="303" t="s">
        <v>132</v>
      </c>
      <c r="E140" s="303" t="s">
        <v>132</v>
      </c>
      <c r="F140" s="303" t="s">
        <v>132</v>
      </c>
      <c r="G140" s="303" t="s">
        <v>132</v>
      </c>
      <c r="H140" s="303" t="s">
        <v>132</v>
      </c>
      <c r="I140" s="303" t="s">
        <v>132</v>
      </c>
      <c r="J140" s="303" t="s">
        <v>132</v>
      </c>
      <c r="K140" s="303" t="s">
        <v>132</v>
      </c>
      <c r="L140" s="68"/>
      <c r="M140" s="68"/>
      <c r="N140" s="68"/>
      <c r="O140" s="68"/>
      <c r="P140" s="68"/>
      <c r="Q140" s="68"/>
      <c r="R140" s="68"/>
      <c r="S140" s="68"/>
      <c r="T140" s="68"/>
      <c r="U140" s="68"/>
      <c r="V140" s="68"/>
      <c r="W140" s="68"/>
      <c r="X140" s="463">
        <v>384</v>
      </c>
      <c r="Y140" s="315">
        <f t="shared" si="147"/>
        <v>384</v>
      </c>
      <c r="Z140" s="577"/>
      <c r="AA140" s="423"/>
      <c r="AB140" s="466">
        <f t="shared" si="148"/>
        <v>-384</v>
      </c>
      <c r="AC140" s="433">
        <f>AB140/X140</f>
        <v>-1</v>
      </c>
      <c r="AD140" s="68"/>
      <c r="AE140" s="68"/>
      <c r="AF140" s="423"/>
      <c r="AG140" s="423">
        <f>AF140-AA140</f>
        <v>0</v>
      </c>
      <c r="AH140" s="420" t="e">
        <f>AG140/AA140</f>
        <v>#DIV/0!</v>
      </c>
      <c r="AI140" s="68"/>
      <c r="AJ140" s="68">
        <v>0</v>
      </c>
      <c r="AK140" s="68"/>
      <c r="AL140" s="68"/>
      <c r="AM140" s="203">
        <f t="shared" si="152"/>
        <v>0</v>
      </c>
      <c r="AN140" s="68"/>
      <c r="AO140" s="148"/>
      <c r="AP140" s="319"/>
      <c r="AQ140" s="319"/>
      <c r="AR140" s="418">
        <f t="shared" si="175"/>
        <v>0</v>
      </c>
      <c r="AS140" s="418">
        <f t="shared" si="176"/>
        <v>1380</v>
      </c>
      <c r="AT140" s="319">
        <f t="shared" si="177"/>
        <v>1380</v>
      </c>
      <c r="AU140" s="433" t="e">
        <f t="shared" si="178"/>
        <v>#DIV/0!</v>
      </c>
      <c r="AV140" s="418"/>
      <c r="AW140" s="485"/>
      <c r="AX140" s="423"/>
      <c r="AY140" s="423">
        <f t="shared" si="101"/>
        <v>0</v>
      </c>
      <c r="AZ140" s="420" t="e">
        <f t="shared" si="102"/>
        <v>#DIV/0!</v>
      </c>
      <c r="BA140" s="560">
        <v>1380</v>
      </c>
      <c r="BB140" s="591">
        <v>1380</v>
      </c>
      <c r="BC140" s="591">
        <f t="shared" si="179"/>
        <v>0</v>
      </c>
      <c r="BD140" s="397">
        <f t="shared" si="180"/>
        <v>0</v>
      </c>
      <c r="BE140" s="423"/>
      <c r="BF140" s="631">
        <f t="shared" si="155"/>
        <v>0</v>
      </c>
      <c r="BG140" s="632" t="e">
        <f>BF140/AX140</f>
        <v>#DIV/0!</v>
      </c>
      <c r="BH140" s="633"/>
      <c r="BI140" s="633"/>
      <c r="BJ140" s="633"/>
      <c r="BK140" s="633"/>
      <c r="BL140" s="634">
        <f t="shared" si="103"/>
        <v>0</v>
      </c>
      <c r="BM140" s="634">
        <f t="shared" si="157"/>
        <v>-1380</v>
      </c>
      <c r="BN140" s="634">
        <v>0</v>
      </c>
      <c r="BO140" s="68"/>
      <c r="BP140" s="206">
        <f t="shared" si="98"/>
        <v>0</v>
      </c>
      <c r="BQ140" s="635">
        <f>BM140/AS140</f>
        <v>-1</v>
      </c>
      <c r="BR140" s="205" t="e">
        <f t="shared" si="99"/>
        <v>#DIV/0!</v>
      </c>
      <c r="BS140" s="573"/>
      <c r="BT140" s="68"/>
      <c r="BU140" s="68"/>
      <c r="BV140" s="68"/>
      <c r="BW140" s="207">
        <f t="shared" si="159"/>
        <v>0</v>
      </c>
      <c r="BX140" s="206"/>
      <c r="BY140" s="206"/>
      <c r="BZ140" s="206">
        <f t="shared" ref="BZ140" si="187">BX140+BY140</f>
        <v>0</v>
      </c>
      <c r="CA140" s="206">
        <f t="shared" si="100"/>
        <v>0</v>
      </c>
      <c r="CB140" s="199" t="e">
        <f t="shared" si="181"/>
        <v>#DIV/0!</v>
      </c>
      <c r="CC140" s="573"/>
      <c r="CD140" s="573"/>
      <c r="CE140" s="573"/>
      <c r="CF140" s="206">
        <f t="shared" si="183"/>
        <v>0</v>
      </c>
      <c r="CG140" s="206">
        <f t="shared" si="160"/>
        <v>0</v>
      </c>
      <c r="CH140" s="304" t="e">
        <f t="shared" si="161"/>
        <v>#DIV/0!</v>
      </c>
      <c r="CI140" s="573">
        <v>0</v>
      </c>
      <c r="CJ140" s="573"/>
      <c r="CK140" s="573">
        <f t="shared" si="162"/>
        <v>0</v>
      </c>
      <c r="CL140" s="206">
        <f t="shared" si="184"/>
        <v>0</v>
      </c>
      <c r="CM140" s="608" t="e">
        <f t="shared" si="163"/>
        <v>#DIV/0!</v>
      </c>
      <c r="CN140" s="423">
        <v>0</v>
      </c>
      <c r="CO140" s="206">
        <f t="shared" si="185"/>
        <v>0</v>
      </c>
      <c r="CP140" s="304" t="e">
        <f t="shared" si="186"/>
        <v>#DIV/0!</v>
      </c>
      <c r="CQ140" s="68"/>
      <c r="CR140" s="68"/>
      <c r="CS140" s="68"/>
      <c r="CT140" s="68"/>
      <c r="CU140" s="68"/>
      <c r="CV140" s="68"/>
      <c r="CW140" s="68"/>
      <c r="CX140" s="68"/>
      <c r="CY140" s="68"/>
      <c r="CZ140" s="68"/>
      <c r="DA140" s="68"/>
      <c r="DB140" s="68"/>
      <c r="DC140" s="68"/>
      <c r="DD140" s="68"/>
      <c r="DE140" s="68"/>
      <c r="DF140" s="68"/>
      <c r="DG140" s="68"/>
      <c r="DH140" s="68"/>
      <c r="DI140" s="68"/>
      <c r="DJ140" s="68"/>
      <c r="DK140" s="68"/>
      <c r="DL140" s="68"/>
      <c r="DM140" s="68"/>
      <c r="DN140" s="68"/>
      <c r="DO140" s="68"/>
      <c r="DP140" s="68"/>
      <c r="DQ140" s="68"/>
      <c r="DR140" s="68"/>
      <c r="DS140" s="68"/>
      <c r="DT140" s="68"/>
      <c r="DU140" s="68"/>
      <c r="DV140" s="68"/>
      <c r="DW140" s="68"/>
      <c r="DX140" s="68"/>
      <c r="DY140" s="68"/>
      <c r="DZ140" s="68"/>
      <c r="EA140" s="68"/>
      <c r="EB140" s="68"/>
      <c r="EC140" s="68"/>
      <c r="ED140" s="68"/>
      <c r="EE140" s="68"/>
      <c r="EF140" s="68"/>
      <c r="EG140" s="68"/>
      <c r="EH140" s="68"/>
      <c r="EI140" s="68"/>
      <c r="EJ140" s="68"/>
      <c r="EK140" s="68"/>
      <c r="EL140" s="68"/>
      <c r="EM140" s="68"/>
      <c r="EN140" s="68"/>
      <c r="EO140" s="68"/>
      <c r="EP140" s="68"/>
      <c r="EQ140" s="68"/>
      <c r="ER140" s="68"/>
      <c r="ES140" s="68"/>
      <c r="ET140" s="68"/>
      <c r="EU140" s="68"/>
      <c r="EV140" s="68"/>
      <c r="EW140" s="68"/>
      <c r="EX140" s="68"/>
      <c r="EY140" s="68"/>
      <c r="EZ140" s="68"/>
      <c r="FA140" s="68"/>
    </row>
    <row r="141" spans="1:157" s="325" customFormat="1" ht="18" customHeight="1" thickBot="1" x14ac:dyDescent="0.3">
      <c r="A141" s="325" t="s">
        <v>249</v>
      </c>
      <c r="B141" s="424"/>
      <c r="C141" s="424"/>
      <c r="D141" s="424"/>
      <c r="E141" s="424"/>
      <c r="F141" s="424"/>
      <c r="G141" s="424"/>
      <c r="H141" s="424"/>
      <c r="I141" s="424"/>
      <c r="J141" s="424"/>
      <c r="K141" s="424"/>
      <c r="X141" s="592"/>
      <c r="Y141" s="327"/>
      <c r="Z141" s="594"/>
      <c r="AA141" s="428"/>
      <c r="AB141" s="450"/>
      <c r="AC141" s="334"/>
      <c r="AF141" s="428"/>
      <c r="AG141" s="428"/>
      <c r="AH141" s="399"/>
      <c r="AM141" s="428"/>
      <c r="AP141" s="427"/>
      <c r="AQ141" s="427"/>
      <c r="AR141" s="427"/>
      <c r="AS141" s="427"/>
      <c r="AT141" s="427"/>
      <c r="AU141" s="334"/>
      <c r="AV141" s="427"/>
      <c r="AW141" s="636"/>
      <c r="AX141" s="428"/>
      <c r="AY141" s="428"/>
      <c r="AZ141" s="399"/>
      <c r="BA141" s="595"/>
      <c r="BB141" s="637">
        <v>359</v>
      </c>
      <c r="BC141" s="637"/>
      <c r="BD141" s="399"/>
      <c r="BE141" s="428">
        <v>414</v>
      </c>
      <c r="BF141" s="638">
        <f>BE141-AX141</f>
        <v>414</v>
      </c>
      <c r="BG141" s="639" t="e">
        <f>BF141/AX141</f>
        <v>#DIV/0!</v>
      </c>
      <c r="BH141" s="640"/>
      <c r="BI141" s="640"/>
      <c r="BJ141" s="640"/>
      <c r="BK141" s="640"/>
      <c r="BL141" s="641"/>
      <c r="BM141" s="641"/>
      <c r="BN141" s="641"/>
      <c r="BP141" s="333"/>
      <c r="BQ141" s="642"/>
      <c r="BR141" s="334"/>
      <c r="BS141" s="398"/>
      <c r="BW141" s="329">
        <f>BN141+BS141+BT141+BU141+BV141</f>
        <v>0</v>
      </c>
      <c r="BX141" s="333">
        <v>505</v>
      </c>
      <c r="BY141" s="333"/>
      <c r="BZ141" s="333">
        <v>159</v>
      </c>
      <c r="CA141" s="333">
        <f>BZ141-BE141</f>
        <v>-255</v>
      </c>
      <c r="CB141" s="212">
        <f>CA141/BE141</f>
        <v>-0.61594202898550721</v>
      </c>
      <c r="CC141" s="398">
        <v>587</v>
      </c>
      <c r="CD141" s="398">
        <v>866</v>
      </c>
      <c r="CE141" s="398"/>
      <c r="CF141" s="206">
        <v>820</v>
      </c>
      <c r="CG141" s="333">
        <f t="shared" si="160"/>
        <v>661</v>
      </c>
      <c r="CH141" s="304">
        <f t="shared" si="161"/>
        <v>4.1572327044025155</v>
      </c>
      <c r="CI141" s="398">
        <v>1152</v>
      </c>
      <c r="CJ141" s="573"/>
      <c r="CK141" s="573">
        <f t="shared" si="162"/>
        <v>1152</v>
      </c>
      <c r="CL141" s="206">
        <f t="shared" si="184"/>
        <v>332</v>
      </c>
      <c r="CM141" s="608">
        <f t="shared" si="163"/>
        <v>0.40487804878048783</v>
      </c>
      <c r="CN141" s="428">
        <v>1076</v>
      </c>
      <c r="CO141" s="206">
        <f t="shared" si="185"/>
        <v>-76</v>
      </c>
      <c r="CP141" s="304">
        <f t="shared" si="186"/>
        <v>-6.5972222222222224E-2</v>
      </c>
    </row>
    <row r="142" spans="1:157" s="65" customFormat="1" ht="18" customHeight="1" x14ac:dyDescent="0.25">
      <c r="A142" s="363" t="s">
        <v>250</v>
      </c>
      <c r="B142" s="352">
        <f t="shared" ref="B142:I142" si="188">SUM(B128:B140)</f>
        <v>759641</v>
      </c>
      <c r="C142" s="352">
        <f t="shared" si="188"/>
        <v>980005</v>
      </c>
      <c r="D142" s="619">
        <f>C142-B142</f>
        <v>220364</v>
      </c>
      <c r="E142" s="619">
        <f>(C142-B142)/B142</f>
        <v>0.29008966077397086</v>
      </c>
      <c r="F142" s="352">
        <f t="shared" si="188"/>
        <v>955185</v>
      </c>
      <c r="G142" s="352">
        <f>F142-C142</f>
        <v>-24820</v>
      </c>
      <c r="H142" s="352">
        <f>(F142-C142)/C142</f>
        <v>-2.5326401395911247E-2</v>
      </c>
      <c r="I142" s="352">
        <f t="shared" si="188"/>
        <v>938612</v>
      </c>
      <c r="J142" s="352">
        <f>I142-F142</f>
        <v>-16573</v>
      </c>
      <c r="K142" s="352">
        <f>(I142-F142)/F142</f>
        <v>-1.7350565597240325E-2</v>
      </c>
      <c r="L142" s="352">
        <f>SUM(L128:L140)</f>
        <v>1050028</v>
      </c>
      <c r="M142" s="619">
        <v>126895</v>
      </c>
      <c r="N142" s="619">
        <v>0.13872733156373401</v>
      </c>
      <c r="O142" s="352">
        <f>SUM(O128:O140)+34000</f>
        <v>1145955</v>
      </c>
      <c r="P142" s="352">
        <f>O142-L142</f>
        <v>95927</v>
      </c>
      <c r="Q142" s="352">
        <f>P142/L142</f>
        <v>9.1356611442742486E-2</v>
      </c>
      <c r="R142" s="352">
        <f>SUM(R128:R140)</f>
        <v>1225569</v>
      </c>
      <c r="S142" s="352">
        <f t="shared" si="171"/>
        <v>79614</v>
      </c>
      <c r="T142" s="352">
        <f>S142/O142</f>
        <v>6.9473932222469476E-2</v>
      </c>
      <c r="U142" s="352">
        <f>SUM(U128:U140)</f>
        <v>1285587</v>
      </c>
      <c r="V142" s="352">
        <f>SUM(V129:V134)</f>
        <v>58737</v>
      </c>
      <c r="W142" s="352">
        <f>V142/R142</f>
        <v>4.7926310146552339E-2</v>
      </c>
      <c r="X142" s="643">
        <f>SUM(X128:X140)</f>
        <v>1447463</v>
      </c>
      <c r="Y142" s="352">
        <f t="shared" si="147"/>
        <v>161876</v>
      </c>
      <c r="Z142" s="622">
        <f>Y142/U142</f>
        <v>0.12591602124165849</v>
      </c>
      <c r="AA142" s="352">
        <f>SUM(AA128:AA140)</f>
        <v>1431098</v>
      </c>
      <c r="AB142" s="402">
        <f t="shared" si="148"/>
        <v>-16365</v>
      </c>
      <c r="AC142" s="352">
        <f>AB142/X142</f>
        <v>-1.1305988477771107E-2</v>
      </c>
      <c r="AD142" s="352">
        <f>SUM(AD128:AD140)</f>
        <v>1359697</v>
      </c>
      <c r="AE142" s="352">
        <f>SUM(AE128:AE140)</f>
        <v>20835</v>
      </c>
      <c r="AF142" s="352">
        <f>SUM(AF128:AF140)</f>
        <v>1406984</v>
      </c>
      <c r="AG142" s="352">
        <f>AF142-AA142</f>
        <v>-24114</v>
      </c>
      <c r="AH142" s="352">
        <f>AG142/AA142</f>
        <v>-1.6849999091606584E-2</v>
      </c>
      <c r="AI142" s="352"/>
      <c r="AJ142" s="352">
        <f>SUM(AJ128:AJ140)</f>
        <v>1419588</v>
      </c>
      <c r="AK142" s="352">
        <f>SUM(AK128:AK140)</f>
        <v>1520467</v>
      </c>
      <c r="AL142" s="352"/>
      <c r="AM142" s="352">
        <f t="shared" ref="AM142:AR142" si="189">SUM(AM128:AM140)</f>
        <v>1520467</v>
      </c>
      <c r="AN142" s="352">
        <f t="shared" si="189"/>
        <v>1503960</v>
      </c>
      <c r="AO142" s="352">
        <f t="shared" si="189"/>
        <v>1523404</v>
      </c>
      <c r="AP142" s="352">
        <f t="shared" si="189"/>
        <v>4371</v>
      </c>
      <c r="AQ142" s="352">
        <f t="shared" si="189"/>
        <v>111</v>
      </c>
      <c r="AR142" s="352">
        <f t="shared" si="189"/>
        <v>4482</v>
      </c>
      <c r="AS142" s="349">
        <f>BB142+AR142</f>
        <v>1502121.1986100003</v>
      </c>
      <c r="AT142" s="349">
        <f t="shared" si="177"/>
        <v>95137.198610000312</v>
      </c>
      <c r="AU142" s="352">
        <f t="shared" si="178"/>
        <v>6.7617825511875271E-2</v>
      </c>
      <c r="AV142" s="352">
        <f>SUM(AV128:AV140)</f>
        <v>93398.198610000021</v>
      </c>
      <c r="AW142" s="352">
        <f>+AV142/AF142</f>
        <v>6.6381848414765215E-2</v>
      </c>
      <c r="AX142" s="352">
        <f>SUM(AX128:AX140)</f>
        <v>1522792</v>
      </c>
      <c r="AY142" s="352">
        <f t="shared" si="101"/>
        <v>115808</v>
      </c>
      <c r="AZ142" s="352">
        <f t="shared" si="102"/>
        <v>8.2309393710234088E-2</v>
      </c>
      <c r="BA142" s="352"/>
      <c r="BB142" s="352">
        <f>SUM(BB128:BB141)</f>
        <v>1497639.1986100003</v>
      </c>
      <c r="BC142" s="352"/>
      <c r="BD142" s="352"/>
      <c r="BE142" s="352">
        <f>SUM(BE128:BE141)</f>
        <v>1610450</v>
      </c>
      <c r="BF142" s="352">
        <f t="shared" si="155"/>
        <v>87658</v>
      </c>
      <c r="BG142" s="352">
        <f t="shared" si="156"/>
        <v>5.7564000861575315E-2</v>
      </c>
      <c r="BH142" s="352">
        <f>SUM(BH128:BH140)</f>
        <v>3374</v>
      </c>
      <c r="BI142" s="352"/>
      <c r="BJ142" s="352"/>
      <c r="BK142" s="352">
        <f>SUM(BK128:BK140)</f>
        <v>379</v>
      </c>
      <c r="BL142" s="352">
        <f t="shared" si="103"/>
        <v>1614203</v>
      </c>
      <c r="BM142" s="352">
        <f t="shared" si="157"/>
        <v>112081.80138999969</v>
      </c>
      <c r="BN142" s="352">
        <f>SUM(BN128:BN140)</f>
        <v>1661274</v>
      </c>
      <c r="BO142" s="644">
        <f>SUM(BO128:BO139)</f>
        <v>1667784</v>
      </c>
      <c r="BP142" s="352">
        <f t="shared" si="98"/>
        <v>57334</v>
      </c>
      <c r="BQ142" s="352">
        <f t="shared" si="158"/>
        <v>7.461568446921292E-2</v>
      </c>
      <c r="BR142" s="352">
        <f t="shared" si="99"/>
        <v>3.5601229470023907E-2</v>
      </c>
      <c r="BS142" s="352"/>
      <c r="BT142" s="352"/>
      <c r="BU142" s="352"/>
      <c r="BV142" s="352"/>
      <c r="BW142" s="352">
        <f>BW128+BW129+BW130+BW131+BW132+BW133+BW134+BW135+BW136+BW137+BW138+BW139+BW140</f>
        <v>1713752.7000000002</v>
      </c>
      <c r="BX142" s="352">
        <f>SUM(BX128:BX141)</f>
        <v>1663278</v>
      </c>
      <c r="BY142" s="352"/>
      <c r="BZ142" s="352">
        <f>SUM(BZ128:BZ141)</f>
        <v>1707306</v>
      </c>
      <c r="CA142" s="352">
        <f t="shared" si="100"/>
        <v>96856</v>
      </c>
      <c r="CB142" s="339">
        <f t="shared" si="181"/>
        <v>6.0142196280542702E-2</v>
      </c>
      <c r="CC142" s="352">
        <f>SUM(CC128:CC141)</f>
        <v>1752293</v>
      </c>
      <c r="CD142" s="352">
        <f>SUM(CD128:CD141)</f>
        <v>1769928</v>
      </c>
      <c r="CE142" s="352">
        <f>SUM(CE128:CE141)</f>
        <v>-3704</v>
      </c>
      <c r="CF142" s="600">
        <f>CD142+CE142</f>
        <v>1766224</v>
      </c>
      <c r="CG142" s="368">
        <f t="shared" si="160"/>
        <v>58918</v>
      </c>
      <c r="CH142" s="601">
        <f t="shared" si="161"/>
        <v>3.4509338103421411E-2</v>
      </c>
      <c r="CI142" s="368">
        <f>SUM(CI128:CI141)</f>
        <v>1926869</v>
      </c>
      <c r="CJ142" s="368"/>
      <c r="CK142" s="368">
        <f>SUM(CK128:CK141)</f>
        <v>1910568</v>
      </c>
      <c r="CL142" s="368">
        <f t="shared" si="184"/>
        <v>144344</v>
      </c>
      <c r="CM142" s="616">
        <f>CL142/CF142</f>
        <v>8.1724628359709756E-2</v>
      </c>
      <c r="CN142" s="358">
        <f>SUM(CN128:CN141)</f>
        <v>1947076</v>
      </c>
      <c r="CO142" s="368">
        <f t="shared" si="185"/>
        <v>36508</v>
      </c>
      <c r="CP142" s="356">
        <f t="shared" si="186"/>
        <v>1.9108453611700812E-2</v>
      </c>
    </row>
    <row r="143" spans="1:157" s="65" customFormat="1" ht="18" customHeight="1" x14ac:dyDescent="0.25">
      <c r="A143" s="335"/>
      <c r="D143" s="416"/>
      <c r="E143" s="563"/>
      <c r="G143" s="204"/>
      <c r="H143" s="199"/>
      <c r="J143" s="204"/>
      <c r="K143" s="199"/>
      <c r="L143" s="358"/>
      <c r="M143" s="343"/>
      <c r="N143" s="645"/>
      <c r="O143" s="358"/>
      <c r="P143" s="358"/>
      <c r="Q143" s="356"/>
      <c r="R143" s="358"/>
      <c r="S143" s="358"/>
      <c r="T143" s="356"/>
      <c r="U143" s="358"/>
      <c r="V143" s="358"/>
      <c r="W143" s="356"/>
      <c r="X143" s="646"/>
      <c r="Y143" s="358"/>
      <c r="Z143" s="605"/>
      <c r="AA143" s="358"/>
      <c r="AB143" s="366"/>
      <c r="AC143" s="367"/>
      <c r="AD143" s="358">
        <f>+AD145+AD146</f>
        <v>63800</v>
      </c>
      <c r="AE143" s="358"/>
      <c r="AF143" s="358"/>
      <c r="AG143" s="204"/>
      <c r="AH143" s="304"/>
      <c r="AJ143" s="358"/>
      <c r="AK143" s="358"/>
      <c r="AM143" s="204"/>
      <c r="AN143" s="204"/>
      <c r="AO143" s="204"/>
      <c r="AR143" s="358"/>
      <c r="AS143" s="358"/>
      <c r="AT143" s="358"/>
      <c r="AU143" s="356"/>
      <c r="AV143" s="358"/>
      <c r="AW143" s="367"/>
      <c r="AX143" s="358"/>
      <c r="AY143" s="204"/>
      <c r="AZ143" s="304"/>
      <c r="BA143" s="304"/>
      <c r="BB143" s="304"/>
      <c r="BC143" s="304"/>
      <c r="BD143" s="304"/>
      <c r="BE143" s="358"/>
      <c r="BF143" s="204"/>
      <c r="BG143" s="304"/>
      <c r="BH143" s="200"/>
      <c r="BI143" s="200"/>
      <c r="BJ143" s="200"/>
      <c r="BK143" s="200"/>
      <c r="BL143" s="206"/>
      <c r="BM143" s="206"/>
      <c r="BN143" s="206"/>
      <c r="BO143" s="206"/>
      <c r="BP143" s="206">
        <f t="shared" si="98"/>
        <v>0</v>
      </c>
      <c r="BQ143" s="199"/>
      <c r="BR143" s="205" t="e">
        <f t="shared" si="99"/>
        <v>#DIV/0!</v>
      </c>
      <c r="BS143" s="368"/>
      <c r="BW143" s="207">
        <f t="shared" ref="BW143:BW153" si="190">BN143+BS143+BT143+BU143+BV143</f>
        <v>0</v>
      </c>
      <c r="BX143" s="206"/>
      <c r="BY143" s="206"/>
      <c r="BZ143" s="206"/>
      <c r="CA143" s="206"/>
      <c r="CB143" s="199"/>
      <c r="CC143" s="368"/>
      <c r="CD143" s="368"/>
      <c r="CE143" s="368"/>
      <c r="CF143" s="368"/>
      <c r="CG143" s="206"/>
      <c r="CH143" s="356"/>
      <c r="CL143" s="206"/>
      <c r="CM143" s="356"/>
      <c r="CO143" s="206"/>
      <c r="CP143" s="206"/>
    </row>
    <row r="144" spans="1:157" s="65" customFormat="1" ht="18" customHeight="1" x14ac:dyDescent="0.25">
      <c r="A144" s="363"/>
      <c r="D144" s="416"/>
      <c r="E144" s="563"/>
      <c r="G144" s="204"/>
      <c r="H144" s="199"/>
      <c r="J144" s="204"/>
      <c r="K144" s="199"/>
      <c r="L144" s="358"/>
      <c r="M144" s="343"/>
      <c r="N144" s="645"/>
      <c r="O144" s="358"/>
      <c r="P144" s="358"/>
      <c r="Q144" s="356"/>
      <c r="R144" s="358"/>
      <c r="S144" s="358"/>
      <c r="T144" s="356"/>
      <c r="U144" s="358"/>
      <c r="V144" s="358"/>
      <c r="W144" s="356"/>
      <c r="X144" s="646"/>
      <c r="Y144" s="358"/>
      <c r="Z144" s="605"/>
      <c r="AA144" s="358"/>
      <c r="AB144" s="366"/>
      <c r="AC144" s="367"/>
      <c r="AD144" s="358">
        <f>+AD143+AD142</f>
        <v>1423497</v>
      </c>
      <c r="AE144" s="358"/>
      <c r="AF144" s="358"/>
      <c r="AG144" s="204"/>
      <c r="AH144" s="304"/>
      <c r="AJ144" s="358"/>
      <c r="AK144" s="358"/>
      <c r="AM144" s="204"/>
      <c r="AN144" s="204"/>
      <c r="AO144" s="204"/>
      <c r="AR144" s="358"/>
      <c r="AS144" s="358"/>
      <c r="AT144" s="358"/>
      <c r="AU144" s="356"/>
      <c r="AV144" s="358">
        <f>AS142-AF144</f>
        <v>1502121.1986100003</v>
      </c>
      <c r="AW144" s="367" t="e">
        <f>AV144/AF144</f>
        <v>#DIV/0!</v>
      </c>
      <c r="AX144" s="358"/>
      <c r="AY144" s="204"/>
      <c r="AZ144" s="304"/>
      <c r="BA144" s="304"/>
      <c r="BB144" s="304"/>
      <c r="BC144" s="304"/>
      <c r="BD144" s="304"/>
      <c r="BE144" s="358"/>
      <c r="BF144" s="204"/>
      <c r="BG144" s="304"/>
      <c r="BH144" s="200"/>
      <c r="BI144" s="200"/>
      <c r="BJ144" s="200"/>
      <c r="BK144" s="200"/>
      <c r="BL144" s="206"/>
      <c r="BM144" s="206"/>
      <c r="BN144" s="206"/>
      <c r="BO144" s="206"/>
      <c r="BP144" s="206">
        <f t="shared" si="98"/>
        <v>0</v>
      </c>
      <c r="BQ144" s="199"/>
      <c r="BR144" s="205" t="e">
        <f t="shared" si="99"/>
        <v>#DIV/0!</v>
      </c>
      <c r="BS144" s="368"/>
      <c r="BW144" s="207">
        <f t="shared" si="190"/>
        <v>0</v>
      </c>
      <c r="BX144" s="206"/>
      <c r="BY144" s="206"/>
      <c r="BZ144" s="206"/>
      <c r="CA144" s="206"/>
      <c r="CB144" s="199"/>
      <c r="CC144" s="368"/>
      <c r="CD144" s="368"/>
      <c r="CE144" s="368"/>
      <c r="CF144" s="368"/>
      <c r="CG144" s="206"/>
      <c r="CH144" s="356"/>
      <c r="CL144" s="206"/>
      <c r="CM144" s="356"/>
      <c r="CO144" s="206"/>
      <c r="CP144" s="206"/>
    </row>
    <row r="145" spans="1:94" s="65" customFormat="1" ht="18" customHeight="1" x14ac:dyDescent="0.25">
      <c r="A145" s="363"/>
      <c r="D145" s="416"/>
      <c r="E145" s="563"/>
      <c r="G145" s="204"/>
      <c r="H145" s="199"/>
      <c r="J145" s="204"/>
      <c r="K145" s="199"/>
      <c r="L145" s="358"/>
      <c r="M145" s="343"/>
      <c r="N145" s="645"/>
      <c r="O145" s="358"/>
      <c r="P145" s="358"/>
      <c r="Q145" s="356"/>
      <c r="R145" s="358"/>
      <c r="S145" s="358"/>
      <c r="T145" s="356"/>
      <c r="U145" s="358"/>
      <c r="V145" s="358"/>
      <c r="W145" s="356"/>
      <c r="X145" s="403"/>
      <c r="Y145" s="404"/>
      <c r="Z145" s="605"/>
      <c r="AA145" s="203"/>
      <c r="AB145" s="374"/>
      <c r="AC145" s="367"/>
      <c r="AD145" s="65">
        <v>39200</v>
      </c>
      <c r="AE145" s="65" t="s">
        <v>251</v>
      </c>
      <c r="AF145" s="358"/>
      <c r="AG145" s="358"/>
      <c r="AX145" s="358"/>
      <c r="AY145" s="204"/>
      <c r="AZ145" s="304"/>
      <c r="BA145" s="304"/>
      <c r="BB145" s="304"/>
      <c r="BC145" s="304"/>
      <c r="BD145" s="304"/>
      <c r="BE145" s="358"/>
      <c r="BF145" s="204"/>
      <c r="BG145" s="304"/>
      <c r="BH145" s="200"/>
      <c r="BI145" s="200"/>
      <c r="BJ145" s="200"/>
      <c r="BK145" s="200"/>
      <c r="BL145" s="206"/>
      <c r="BM145" s="206"/>
      <c r="BN145" s="206"/>
      <c r="BO145" s="206"/>
      <c r="BP145" s="206">
        <f t="shared" ref="BP145:BP211" si="191">BO145-BE145</f>
        <v>0</v>
      </c>
      <c r="BQ145" s="199"/>
      <c r="BR145" s="205" t="e">
        <f t="shared" ref="BR145:BR211" si="192">BP145/BE145</f>
        <v>#DIV/0!</v>
      </c>
      <c r="BS145" s="368"/>
      <c r="BW145" s="207">
        <f t="shared" si="190"/>
        <v>0</v>
      </c>
      <c r="BX145" s="206"/>
      <c r="BY145" s="206"/>
      <c r="BZ145" s="206"/>
      <c r="CA145" s="206"/>
      <c r="CB145" s="199"/>
      <c r="CC145" s="368"/>
      <c r="CD145" s="368"/>
      <c r="CE145" s="368"/>
      <c r="CF145" s="368"/>
      <c r="CG145" s="206"/>
      <c r="CH145" s="356"/>
      <c r="CL145" s="206"/>
      <c r="CM145" s="356"/>
      <c r="CO145" s="206"/>
      <c r="CP145" s="206"/>
    </row>
    <row r="146" spans="1:94" ht="18" customHeight="1" x14ac:dyDescent="0.25">
      <c r="A146" s="373" t="s">
        <v>252</v>
      </c>
      <c r="D146" s="416"/>
      <c r="E146" s="563"/>
      <c r="G146" s="204"/>
      <c r="J146" s="204"/>
      <c r="N146" s="304"/>
      <c r="Q146" s="304"/>
      <c r="R146" s="204"/>
      <c r="S146" s="204"/>
      <c r="T146" s="304"/>
      <c r="U146" s="204"/>
      <c r="V146" s="204"/>
      <c r="W146" s="304"/>
      <c r="AB146" s="374"/>
      <c r="AD146" s="66">
        <v>24600</v>
      </c>
      <c r="AE146" s="66" t="s">
        <v>253</v>
      </c>
      <c r="BH146" s="200"/>
      <c r="BI146" s="200"/>
      <c r="BJ146" s="200"/>
      <c r="BK146" s="200"/>
      <c r="BL146" s="206"/>
      <c r="BM146" s="206"/>
      <c r="BN146" s="206"/>
      <c r="BO146" s="206"/>
      <c r="BP146" s="206">
        <f t="shared" si="191"/>
        <v>0</v>
      </c>
      <c r="BQ146" s="199"/>
      <c r="BR146" s="205" t="e">
        <f t="shared" si="192"/>
        <v>#DIV/0!</v>
      </c>
      <c r="BW146" s="207">
        <f t="shared" si="190"/>
        <v>0</v>
      </c>
      <c r="BX146" s="206"/>
      <c r="BY146" s="206"/>
      <c r="BZ146" s="206"/>
      <c r="CA146" s="206"/>
      <c r="CB146" s="199"/>
      <c r="CC146" s="206"/>
      <c r="CD146" s="206"/>
      <c r="CE146" s="206"/>
      <c r="CF146" s="206"/>
      <c r="CG146" s="206"/>
      <c r="CH146" s="304"/>
      <c r="CL146" s="206"/>
      <c r="CM146" s="304"/>
      <c r="CO146" s="206"/>
      <c r="CP146" s="206"/>
    </row>
    <row r="147" spans="1:94" ht="18" customHeight="1" x14ac:dyDescent="0.25">
      <c r="A147" s="373" t="s">
        <v>254</v>
      </c>
      <c r="D147" s="416"/>
      <c r="E147" s="563"/>
      <c r="G147" s="204"/>
      <c r="J147" s="204"/>
      <c r="N147" s="304"/>
      <c r="Q147" s="304"/>
      <c r="R147" s="204"/>
      <c r="S147" s="204"/>
      <c r="T147" s="304"/>
      <c r="U147" s="204"/>
      <c r="V147" s="204"/>
      <c r="W147" s="304"/>
      <c r="AB147" s="374"/>
      <c r="BH147" s="200"/>
      <c r="BI147" s="200"/>
      <c r="BJ147" s="200"/>
      <c r="BK147" s="200"/>
      <c r="BL147" s="206"/>
      <c r="BM147" s="206"/>
      <c r="BN147" s="206"/>
      <c r="BO147" s="206"/>
      <c r="BP147" s="206">
        <f t="shared" si="191"/>
        <v>0</v>
      </c>
      <c r="BQ147" s="199"/>
      <c r="BR147" s="205" t="e">
        <f t="shared" si="192"/>
        <v>#DIV/0!</v>
      </c>
      <c r="BW147" s="207">
        <f t="shared" si="190"/>
        <v>0</v>
      </c>
      <c r="BX147" s="206"/>
      <c r="BY147" s="206"/>
      <c r="BZ147" s="206"/>
      <c r="CA147" s="206"/>
      <c r="CB147" s="199"/>
      <c r="CC147" s="206"/>
      <c r="CD147" s="206"/>
      <c r="CE147" s="206"/>
      <c r="CF147" s="206"/>
      <c r="CG147" s="206"/>
      <c r="CH147" s="304"/>
      <c r="CL147" s="206"/>
      <c r="CM147" s="304"/>
      <c r="CO147" s="206"/>
      <c r="CP147" s="206"/>
    </row>
    <row r="148" spans="1:94" ht="18" customHeight="1" x14ac:dyDescent="0.25">
      <c r="A148" s="373" t="s">
        <v>255</v>
      </c>
      <c r="D148" s="416"/>
      <c r="E148" s="563"/>
      <c r="G148" s="204"/>
      <c r="J148" s="204"/>
      <c r="L148" s="317"/>
      <c r="M148" s="317"/>
      <c r="N148" s="316"/>
      <c r="O148" s="317"/>
      <c r="P148" s="317"/>
      <c r="Q148" s="316"/>
      <c r="R148" s="204"/>
      <c r="S148" s="204"/>
      <c r="T148" s="304"/>
      <c r="U148" s="204"/>
      <c r="V148" s="204"/>
      <c r="W148" s="304"/>
      <c r="AB148" s="374"/>
      <c r="BH148" s="200"/>
      <c r="BI148" s="200"/>
      <c r="BJ148" s="200"/>
      <c r="BK148" s="200"/>
      <c r="BL148" s="206"/>
      <c r="BM148" s="206"/>
      <c r="BN148" s="206"/>
      <c r="BO148" s="206"/>
      <c r="BP148" s="206">
        <f t="shared" si="191"/>
        <v>0</v>
      </c>
      <c r="BQ148" s="199"/>
      <c r="BR148" s="205" t="e">
        <f t="shared" si="192"/>
        <v>#DIV/0!</v>
      </c>
      <c r="BW148" s="207">
        <f t="shared" si="190"/>
        <v>0</v>
      </c>
      <c r="BX148" s="206"/>
      <c r="BY148" s="206"/>
      <c r="BZ148" s="206"/>
      <c r="CA148" s="206"/>
      <c r="CB148" s="199"/>
      <c r="CC148" s="206"/>
      <c r="CD148" s="206"/>
      <c r="CE148" s="206"/>
      <c r="CF148" s="206"/>
      <c r="CG148" s="206"/>
      <c r="CH148" s="304"/>
      <c r="CL148" s="206"/>
      <c r="CM148" s="304"/>
      <c r="CO148" s="206"/>
      <c r="CP148" s="206"/>
    </row>
    <row r="149" spans="1:94" ht="18" customHeight="1" x14ac:dyDescent="0.25">
      <c r="A149" s="373" t="s">
        <v>256</v>
      </c>
      <c r="D149" s="416"/>
      <c r="E149" s="563"/>
      <c r="G149" s="204"/>
      <c r="J149" s="204"/>
      <c r="L149" s="317"/>
      <c r="M149" s="317"/>
      <c r="N149" s="316"/>
      <c r="O149" s="317"/>
      <c r="P149" s="317"/>
      <c r="Q149" s="316"/>
      <c r="R149" s="204"/>
      <c r="S149" s="204"/>
      <c r="T149" s="304"/>
      <c r="U149" s="204"/>
      <c r="V149" s="204"/>
      <c r="W149" s="304"/>
      <c r="AB149" s="374"/>
      <c r="BH149" s="200"/>
      <c r="BI149" s="200"/>
      <c r="BJ149" s="200"/>
      <c r="BK149" s="200"/>
      <c r="BL149" s="206"/>
      <c r="BM149" s="206"/>
      <c r="BN149" s="206"/>
      <c r="BO149" s="206"/>
      <c r="BP149" s="206">
        <f t="shared" si="191"/>
        <v>0</v>
      </c>
      <c r="BQ149" s="199"/>
      <c r="BR149" s="205" t="e">
        <f t="shared" si="192"/>
        <v>#DIV/0!</v>
      </c>
      <c r="BW149" s="207">
        <f t="shared" si="190"/>
        <v>0</v>
      </c>
      <c r="BX149" s="206"/>
      <c r="BY149" s="206"/>
      <c r="BZ149" s="206"/>
      <c r="CA149" s="206"/>
      <c r="CB149" s="199"/>
      <c r="CC149" s="206"/>
      <c r="CD149" s="206"/>
      <c r="CE149" s="206"/>
      <c r="CF149" s="206"/>
      <c r="CG149" s="206"/>
      <c r="CH149" s="304"/>
      <c r="CL149" s="206"/>
      <c r="CM149" s="304"/>
      <c r="CO149" s="206"/>
      <c r="CP149" s="206"/>
    </row>
    <row r="150" spans="1:94" ht="18" customHeight="1" x14ac:dyDescent="0.25">
      <c r="A150" s="373" t="s">
        <v>257</v>
      </c>
      <c r="D150" s="416"/>
      <c r="E150" s="563"/>
      <c r="G150" s="204"/>
      <c r="J150" s="204"/>
      <c r="L150" s="317"/>
      <c r="M150" s="317"/>
      <c r="N150" s="316"/>
      <c r="O150" s="317"/>
      <c r="P150" s="317"/>
      <c r="Q150" s="316"/>
      <c r="R150" s="204"/>
      <c r="S150" s="204"/>
      <c r="T150" s="304"/>
      <c r="U150" s="204"/>
      <c r="V150" s="204"/>
      <c r="W150" s="304"/>
      <c r="AB150" s="374"/>
      <c r="BH150" s="200"/>
      <c r="BI150" s="200"/>
      <c r="BJ150" s="200"/>
      <c r="BK150" s="200"/>
      <c r="BL150" s="206"/>
      <c r="BM150" s="206"/>
      <c r="BN150" s="206"/>
      <c r="BO150" s="206"/>
      <c r="BP150" s="206">
        <f t="shared" si="191"/>
        <v>0</v>
      </c>
      <c r="BQ150" s="199"/>
      <c r="BR150" s="205" t="e">
        <f t="shared" si="192"/>
        <v>#DIV/0!</v>
      </c>
      <c r="BW150" s="207">
        <f t="shared" si="190"/>
        <v>0</v>
      </c>
      <c r="BX150" s="206"/>
      <c r="BY150" s="206"/>
      <c r="BZ150" s="206"/>
      <c r="CA150" s="206"/>
      <c r="CB150" s="199"/>
      <c r="CC150" s="206"/>
      <c r="CD150" s="206"/>
      <c r="CE150" s="206"/>
      <c r="CF150" s="206"/>
      <c r="CG150" s="206"/>
      <c r="CH150" s="304"/>
      <c r="CL150" s="206"/>
      <c r="CM150" s="304"/>
      <c r="CO150" s="206"/>
      <c r="CP150" s="206"/>
    </row>
    <row r="151" spans="1:94" ht="18" customHeight="1" x14ac:dyDescent="0.25">
      <c r="A151" s="373" t="s">
        <v>258</v>
      </c>
      <c r="D151" s="416"/>
      <c r="E151" s="563"/>
      <c r="G151" s="204"/>
      <c r="J151" s="204"/>
      <c r="L151" s="317"/>
      <c r="M151" s="317"/>
      <c r="N151" s="316"/>
      <c r="O151" s="317"/>
      <c r="P151" s="317"/>
      <c r="Q151" s="316"/>
      <c r="R151" s="204"/>
      <c r="S151" s="204"/>
      <c r="T151" s="304"/>
      <c r="U151" s="204"/>
      <c r="V151" s="204"/>
      <c r="W151" s="304"/>
      <c r="AB151" s="374"/>
      <c r="BH151" s="200"/>
      <c r="BI151" s="200"/>
      <c r="BJ151" s="200"/>
      <c r="BK151" s="200"/>
      <c r="BL151" s="206"/>
      <c r="BM151" s="206"/>
      <c r="BN151" s="206"/>
      <c r="BO151" s="206"/>
      <c r="BP151" s="206">
        <f t="shared" si="191"/>
        <v>0</v>
      </c>
      <c r="BQ151" s="199"/>
      <c r="BR151" s="205" t="e">
        <f t="shared" si="192"/>
        <v>#DIV/0!</v>
      </c>
      <c r="BW151" s="207">
        <f t="shared" si="190"/>
        <v>0</v>
      </c>
      <c r="BX151" s="206"/>
      <c r="BY151" s="206"/>
      <c r="BZ151" s="206"/>
      <c r="CA151" s="206"/>
      <c r="CB151" s="199"/>
      <c r="CC151" s="206"/>
      <c r="CD151" s="206"/>
      <c r="CE151" s="206"/>
      <c r="CF151" s="206"/>
      <c r="CG151" s="206"/>
      <c r="CH151" s="304"/>
      <c r="CL151" s="206"/>
      <c r="CM151" s="304"/>
      <c r="CO151" s="206"/>
      <c r="CP151" s="206"/>
    </row>
    <row r="152" spans="1:94" ht="18" customHeight="1" x14ac:dyDescent="0.25">
      <c r="A152" s="373" t="s">
        <v>259</v>
      </c>
      <c r="D152" s="416"/>
      <c r="E152" s="563"/>
      <c r="G152" s="204"/>
      <c r="J152" s="204"/>
      <c r="L152" s="317"/>
      <c r="M152" s="317"/>
      <c r="N152" s="316"/>
      <c r="O152" s="317"/>
      <c r="P152" s="317"/>
      <c r="Q152" s="316"/>
      <c r="R152" s="204"/>
      <c r="S152" s="204"/>
      <c r="T152" s="304"/>
      <c r="U152" s="204"/>
      <c r="V152" s="204"/>
      <c r="W152" s="304"/>
      <c r="AB152" s="374"/>
      <c r="BH152" s="200"/>
      <c r="BI152" s="200"/>
      <c r="BJ152" s="200"/>
      <c r="BK152" s="200"/>
      <c r="BL152" s="206"/>
      <c r="BM152" s="206"/>
      <c r="BN152" s="206"/>
      <c r="BO152" s="206"/>
      <c r="BP152" s="206">
        <f t="shared" si="191"/>
        <v>0</v>
      </c>
      <c r="BQ152" s="199"/>
      <c r="BR152" s="205" t="e">
        <f t="shared" si="192"/>
        <v>#DIV/0!</v>
      </c>
      <c r="BW152" s="207">
        <f t="shared" si="190"/>
        <v>0</v>
      </c>
      <c r="BX152" s="206"/>
      <c r="BY152" s="206"/>
      <c r="BZ152" s="206"/>
      <c r="CA152" s="206"/>
      <c r="CB152" s="199"/>
      <c r="CC152" s="206"/>
      <c r="CD152" s="206"/>
      <c r="CE152" s="206"/>
      <c r="CF152" s="206"/>
      <c r="CG152" s="206"/>
      <c r="CH152" s="304"/>
      <c r="CL152" s="206"/>
      <c r="CM152" s="304"/>
      <c r="CO152" s="206"/>
      <c r="CP152" s="206"/>
    </row>
    <row r="153" spans="1:94" ht="18" customHeight="1" x14ac:dyDescent="0.25">
      <c r="A153" s="373" t="s">
        <v>260</v>
      </c>
      <c r="D153" s="416"/>
      <c r="E153" s="563"/>
      <c r="G153" s="204"/>
      <c r="J153" s="204"/>
      <c r="L153" s="317"/>
      <c r="M153" s="317"/>
      <c r="N153" s="316"/>
      <c r="O153" s="317"/>
      <c r="P153" s="317"/>
      <c r="Q153" s="316"/>
      <c r="R153" s="204"/>
      <c r="S153" s="204"/>
      <c r="T153" s="304"/>
      <c r="U153" s="204"/>
      <c r="V153" s="204"/>
      <c r="W153" s="304"/>
      <c r="AB153" s="374"/>
      <c r="BH153" s="200"/>
      <c r="BI153" s="200"/>
      <c r="BJ153" s="200"/>
      <c r="BK153" s="200"/>
      <c r="BL153" s="206"/>
      <c r="BM153" s="206"/>
      <c r="BN153" s="206"/>
      <c r="BO153" s="206"/>
      <c r="BP153" s="206">
        <f t="shared" si="191"/>
        <v>0</v>
      </c>
      <c r="BQ153" s="199"/>
      <c r="BR153" s="205" t="e">
        <f t="shared" si="192"/>
        <v>#DIV/0!</v>
      </c>
      <c r="BW153" s="207">
        <f t="shared" si="190"/>
        <v>0</v>
      </c>
      <c r="BX153" s="206"/>
      <c r="BY153" s="206"/>
      <c r="BZ153" s="206"/>
      <c r="CA153" s="206"/>
      <c r="CB153" s="199"/>
      <c r="CC153" s="206"/>
      <c r="CD153" s="206"/>
      <c r="CE153" s="206"/>
      <c r="CF153" s="206"/>
      <c r="CG153" s="206"/>
      <c r="CH153" s="304"/>
      <c r="CL153" s="206"/>
      <c r="CM153" s="304"/>
      <c r="CO153" s="206"/>
      <c r="CP153" s="206"/>
    </row>
    <row r="154" spans="1:94" s="289" customFormat="1" ht="18" customHeight="1" x14ac:dyDescent="0.25">
      <c r="A154" s="283" t="s">
        <v>261</v>
      </c>
      <c r="D154" s="375"/>
      <c r="E154" s="376"/>
      <c r="G154" s="287"/>
      <c r="H154" s="288"/>
      <c r="J154" s="287"/>
      <c r="K154" s="288"/>
      <c r="L154" s="285"/>
      <c r="M154" s="285"/>
      <c r="N154" s="377"/>
      <c r="O154" s="285"/>
      <c r="P154" s="285"/>
      <c r="Q154" s="377"/>
      <c r="R154" s="287"/>
      <c r="S154" s="287"/>
      <c r="T154" s="407"/>
      <c r="U154" s="287"/>
      <c r="V154" s="287"/>
      <c r="W154" s="407"/>
      <c r="X154" s="291"/>
      <c r="Y154" s="292"/>
      <c r="Z154" s="559"/>
      <c r="AA154" s="287"/>
      <c r="AB154" s="384"/>
      <c r="AC154" s="295"/>
      <c r="AF154" s="287"/>
      <c r="AG154" s="287"/>
      <c r="AX154" s="287"/>
      <c r="AY154" s="287"/>
      <c r="AZ154" s="407"/>
      <c r="BA154" s="407"/>
      <c r="BB154" s="407"/>
      <c r="BC154" s="407"/>
      <c r="BD154" s="407"/>
      <c r="BE154" s="287"/>
      <c r="BF154" s="287"/>
      <c r="BG154" s="407"/>
      <c r="BH154" s="290"/>
      <c r="BI154" s="290"/>
      <c r="BJ154" s="290"/>
      <c r="BK154" s="290"/>
      <c r="BL154" s="296"/>
      <c r="BM154" s="296"/>
      <c r="BN154" s="296"/>
      <c r="BO154" s="296"/>
      <c r="BP154" s="206">
        <f t="shared" si="191"/>
        <v>0</v>
      </c>
      <c r="BQ154" s="288"/>
      <c r="BR154" s="205" t="e">
        <f t="shared" si="192"/>
        <v>#DIV/0!</v>
      </c>
      <c r="BS154" s="296"/>
      <c r="BW154" s="298"/>
      <c r="BX154" s="296"/>
      <c r="BY154" s="296"/>
      <c r="BZ154" s="296"/>
      <c r="CA154" s="296"/>
      <c r="CB154" s="288"/>
      <c r="CC154" s="296"/>
      <c r="CD154" s="296"/>
      <c r="CE154" s="296"/>
      <c r="CF154" s="296"/>
      <c r="CG154" s="296"/>
      <c r="CH154" s="407"/>
      <c r="CL154" s="743"/>
      <c r="CM154" s="407"/>
    </row>
    <row r="155" spans="1:94" ht="18" customHeight="1" x14ac:dyDescent="0.25">
      <c r="A155" s="312" t="s">
        <v>262</v>
      </c>
      <c r="B155" s="416">
        <f>(197109+3710)-98846</f>
        <v>101973</v>
      </c>
      <c r="C155" s="416">
        <f>(194168+726)-92765</f>
        <v>102129</v>
      </c>
      <c r="D155" s="416">
        <f>C155-B155</f>
        <v>156</v>
      </c>
      <c r="E155" s="563">
        <f>(C155-B155)/B155</f>
        <v>1.5298167161895797E-3</v>
      </c>
      <c r="F155" s="204">
        <f>(205286+5666)-109233</f>
        <v>101719</v>
      </c>
      <c r="G155" s="204">
        <f>F155-C155</f>
        <v>-410</v>
      </c>
      <c r="H155" s="199">
        <f>(F155-C155)/C155</f>
        <v>-4.0145306426186489E-3</v>
      </c>
      <c r="I155" s="204">
        <f>(218885+1830)-72706</f>
        <v>148009</v>
      </c>
      <c r="J155" s="204">
        <f>I155-F155</f>
        <v>46290</v>
      </c>
      <c r="K155" s="199">
        <f>(I155-F155)/F155</f>
        <v>0.4550772225444607</v>
      </c>
      <c r="L155" s="204">
        <f>240299-87340</f>
        <v>152959</v>
      </c>
      <c r="M155" s="204">
        <v>19584</v>
      </c>
      <c r="N155" s="304">
        <v>8.8729809935890178E-2</v>
      </c>
      <c r="O155" s="204">
        <f>276738-109826</f>
        <v>166912</v>
      </c>
      <c r="P155" s="204">
        <f>O155-L155</f>
        <v>13953</v>
      </c>
      <c r="Q155" s="304">
        <f>P155/L155</f>
        <v>9.1220523146725588E-2</v>
      </c>
      <c r="R155" s="204">
        <f>262333-198311</f>
        <v>64022</v>
      </c>
      <c r="S155" s="204">
        <f t="shared" ref="S155:S176" si="193">R155-O155</f>
        <v>-102890</v>
      </c>
      <c r="T155" s="304">
        <f>S155/O155</f>
        <v>-0.61643261119631898</v>
      </c>
      <c r="U155" s="204">
        <f>275962-127968</f>
        <v>147994</v>
      </c>
      <c r="V155" s="204">
        <f>U155-R155</f>
        <v>83972</v>
      </c>
      <c r="W155" s="304">
        <f>V155/R155</f>
        <v>1.311611633500984</v>
      </c>
      <c r="X155" s="201">
        <v>140649</v>
      </c>
      <c r="Y155" s="204">
        <f>X155-U155</f>
        <v>-7345</v>
      </c>
      <c r="Z155" s="484">
        <f>Y155/U155</f>
        <v>-4.9630390421233295E-2</v>
      </c>
      <c r="AA155" s="203">
        <v>171682</v>
      </c>
      <c r="AB155" s="374">
        <f>AA155-X155</f>
        <v>31033</v>
      </c>
      <c r="AC155" s="205">
        <f>AB155/X155</f>
        <v>0.220641454969463</v>
      </c>
      <c r="AD155" s="200">
        <v>144388</v>
      </c>
      <c r="AE155" s="200">
        <v>2725</v>
      </c>
      <c r="AF155" s="204">
        <v>141715</v>
      </c>
      <c r="AG155" s="204">
        <f t="shared" ref="AG155:AG175" si="194">AF155-AA155</f>
        <v>-29967</v>
      </c>
      <c r="AH155" s="304">
        <f t="shared" ref="AH155:AH175" si="195">AG155/AA155</f>
        <v>-0.17454945771833971</v>
      </c>
      <c r="AI155" s="200">
        <f>AD155-2721</f>
        <v>141667</v>
      </c>
      <c r="AJ155" s="200">
        <f>AF155-2721</f>
        <v>138994</v>
      </c>
      <c r="AK155" s="66">
        <v>137301</v>
      </c>
      <c r="AL155" s="354">
        <v>11399</v>
      </c>
      <c r="AM155" s="204">
        <f t="shared" ref="AM155:AM175" si="196">+AL155+AK155</f>
        <v>148700</v>
      </c>
      <c r="AN155" s="200">
        <v>143133</v>
      </c>
      <c r="AO155" s="200">
        <v>145083</v>
      </c>
      <c r="AQ155" s="200">
        <v>425</v>
      </c>
      <c r="AR155" s="200">
        <f>AP155+AQ155</f>
        <v>425</v>
      </c>
      <c r="AS155" s="200">
        <f>BB155+AR155</f>
        <v>138580.23599000002</v>
      </c>
      <c r="AT155" s="200">
        <f>AS155-AF155</f>
        <v>-3134.7640099999844</v>
      </c>
      <c r="AU155" s="205">
        <f>AT155/AF155</f>
        <v>-2.2120199061496554E-2</v>
      </c>
      <c r="AV155" s="200">
        <f>AS155-AF155</f>
        <v>-3134.7640099999844</v>
      </c>
      <c r="AW155" s="205">
        <f>AV155/AF155</f>
        <v>-2.2120199061496554E-2</v>
      </c>
      <c r="AX155" s="204">
        <f>142325+14000</f>
        <v>156325</v>
      </c>
      <c r="AY155" s="204">
        <f t="shared" ref="AY155:AY215" si="197">AX155-AF155</f>
        <v>14610</v>
      </c>
      <c r="AZ155" s="304">
        <f t="shared" ref="AZ155:AZ215" si="198">AY155/AF155</f>
        <v>0.10309423843629821</v>
      </c>
      <c r="BA155" s="560">
        <f>140174.77438+4567.032</f>
        <v>144741.80637999999</v>
      </c>
      <c r="BB155" s="560">
        <f>135999.79435+2155.44164</f>
        <v>138155.23599000002</v>
      </c>
      <c r="BC155" s="560">
        <f>BA155-BB155</f>
        <v>6586.5703899999789</v>
      </c>
      <c r="BD155" s="304">
        <f>BC155/BA155</f>
        <v>4.5505652822294004E-2</v>
      </c>
      <c r="BE155" s="204">
        <v>178577</v>
      </c>
      <c r="BF155" s="204">
        <f t="shared" ref="BF155:BF172" si="199">BE155-AX155</f>
        <v>22252</v>
      </c>
      <c r="BG155" s="304">
        <f t="shared" ref="BG155:BG172" si="200">BF155/AX155</f>
        <v>0.14234447465216696</v>
      </c>
      <c r="BH155" s="200"/>
      <c r="BI155" s="200"/>
      <c r="BJ155" s="200"/>
      <c r="BK155" s="200"/>
      <c r="BL155" s="206">
        <f t="shared" ref="BL155:BL215" si="201">BE155+BH155+BI155+BJ155+BK155</f>
        <v>178577</v>
      </c>
      <c r="BM155" s="206">
        <f t="shared" ref="BM155:BM172" si="202">BL155-AS155</f>
        <v>39996.764009999984</v>
      </c>
      <c r="BN155" s="206">
        <v>167135</v>
      </c>
      <c r="BO155" s="206">
        <v>167135</v>
      </c>
      <c r="BP155" s="206">
        <f t="shared" si="191"/>
        <v>-11442</v>
      </c>
      <c r="BQ155" s="199">
        <f t="shared" ref="BQ155:BQ172" si="203">BM155/AS155</f>
        <v>0.28861809712090664</v>
      </c>
      <c r="BR155" s="205">
        <f t="shared" si="192"/>
        <v>-6.4073200916131418E-2</v>
      </c>
      <c r="BS155" s="206">
        <v>22311</v>
      </c>
      <c r="BV155" s="66">
        <v>110</v>
      </c>
      <c r="BW155" s="207">
        <f t="shared" ref="BW155:BW165" si="204">BN155+BS155+BT155+BU155+BV155</f>
        <v>189556</v>
      </c>
      <c r="BX155" s="206">
        <v>167135</v>
      </c>
      <c r="BY155" s="206"/>
      <c r="BZ155" s="206">
        <v>175250</v>
      </c>
      <c r="CA155" s="206">
        <f t="shared" ref="CA155:CA211" si="205">BZ155-BE155</f>
        <v>-3327</v>
      </c>
      <c r="CB155" s="199">
        <f>CA155/BE155</f>
        <v>-1.8630618724695791E-2</v>
      </c>
      <c r="CC155" s="206">
        <v>207893</v>
      </c>
      <c r="CD155" s="206">
        <v>214884</v>
      </c>
      <c r="CE155" s="206"/>
      <c r="CF155" s="206">
        <v>216232</v>
      </c>
      <c r="CG155" s="206">
        <f t="shared" ref="CG155:CG176" si="206">CF155-BZ155</f>
        <v>40982</v>
      </c>
      <c r="CH155" s="304">
        <f t="shared" ref="CH155:CH176" si="207">CG155/BZ155</f>
        <v>0.233848787446505</v>
      </c>
      <c r="CI155" s="206">
        <f>237747</f>
        <v>237747</v>
      </c>
      <c r="CJ155" s="206">
        <v>-600</v>
      </c>
      <c r="CK155" s="206">
        <f t="shared" ref="CK155:CK156" si="208">CI155+CJ155</f>
        <v>237147</v>
      </c>
      <c r="CL155" s="206">
        <f t="shared" si="184"/>
        <v>20915</v>
      </c>
      <c r="CM155" s="562">
        <f t="shared" ref="CM155:CM172" si="209">CL155/CF155</f>
        <v>9.6724814088571531E-2</v>
      </c>
      <c r="CN155" s="200">
        <v>269682</v>
      </c>
      <c r="CO155" s="206">
        <f t="shared" si="185"/>
        <v>32535</v>
      </c>
      <c r="CP155" s="304">
        <f>CO155/CK155</f>
        <v>0.13719338638059939</v>
      </c>
    </row>
    <row r="156" spans="1:94" ht="18" customHeight="1" x14ac:dyDescent="0.25">
      <c r="A156" s="312" t="s">
        <v>263</v>
      </c>
      <c r="B156" s="416">
        <f>74836+1088</f>
        <v>75924</v>
      </c>
      <c r="C156" s="416">
        <f>96069+488</f>
        <v>96557</v>
      </c>
      <c r="D156" s="416">
        <f>C156-B156</f>
        <v>20633</v>
      </c>
      <c r="E156" s="563">
        <f>(C156-B156)/B156</f>
        <v>0.27175860070596913</v>
      </c>
      <c r="F156" s="204">
        <f>152504+399</f>
        <v>152903</v>
      </c>
      <c r="G156" s="204">
        <f>F156-C156</f>
        <v>56346</v>
      </c>
      <c r="H156" s="199">
        <f>(F156-C156)/C156</f>
        <v>0.58355168449723993</v>
      </c>
      <c r="I156" s="204">
        <f>140432+830</f>
        <v>141262</v>
      </c>
      <c r="J156" s="204">
        <f>I156-F156</f>
        <v>-11641</v>
      </c>
      <c r="K156" s="199">
        <f>(I156-F156)/F156</f>
        <v>-7.6133234795916369E-2</v>
      </c>
      <c r="L156" s="204">
        <v>127052</v>
      </c>
      <c r="M156" s="204">
        <v>-14210</v>
      </c>
      <c r="N156" s="304">
        <v>-0.10059322393849726</v>
      </c>
      <c r="O156" s="204">
        <v>159227</v>
      </c>
      <c r="P156" s="204">
        <f t="shared" ref="P156:P175" si="210">O156-L156</f>
        <v>32175</v>
      </c>
      <c r="Q156" s="304">
        <f>P156/L156</f>
        <v>0.25324276674117685</v>
      </c>
      <c r="R156" s="204">
        <v>166624</v>
      </c>
      <c r="S156" s="204">
        <f t="shared" si="193"/>
        <v>7397</v>
      </c>
      <c r="T156" s="304">
        <f>S156/O156</f>
        <v>4.645568904771176E-2</v>
      </c>
      <c r="U156" s="204">
        <v>181976</v>
      </c>
      <c r="V156" s="204">
        <f t="shared" ref="V156:V175" si="211">U156-R156</f>
        <v>15352</v>
      </c>
      <c r="W156" s="304">
        <f t="shared" ref="W156:W172" si="212">V156/R156</f>
        <v>9.2135586710197809E-2</v>
      </c>
      <c r="X156" s="201">
        <v>275453</v>
      </c>
      <c r="Y156" s="204">
        <f>X156-U156</f>
        <v>93477</v>
      </c>
      <c r="Z156" s="484">
        <f>Y156/U156</f>
        <v>0.51367762781905302</v>
      </c>
      <c r="AA156" s="203">
        <v>197575</v>
      </c>
      <c r="AB156" s="374">
        <f>AA156-X156</f>
        <v>-77878</v>
      </c>
      <c r="AC156" s="205">
        <f>AB156/X156</f>
        <v>-0.28272699879834307</v>
      </c>
      <c r="AD156" s="200">
        <v>194161</v>
      </c>
      <c r="AE156" s="200">
        <v>750</v>
      </c>
      <c r="AF156" s="204">
        <v>207368</v>
      </c>
      <c r="AG156" s="204">
        <f t="shared" si="194"/>
        <v>9793</v>
      </c>
      <c r="AH156" s="304">
        <f t="shared" si="195"/>
        <v>4.9565987599645707E-2</v>
      </c>
      <c r="AI156" s="200">
        <f>AD156+11054</f>
        <v>205215</v>
      </c>
      <c r="AJ156" s="200">
        <f>AF156+11054</f>
        <v>218422</v>
      </c>
      <c r="AK156" s="66">
        <v>195699</v>
      </c>
      <c r="AL156" s="354">
        <v>19805</v>
      </c>
      <c r="AM156" s="204">
        <f t="shared" si="196"/>
        <v>215504</v>
      </c>
      <c r="AN156" s="200">
        <v>193830</v>
      </c>
      <c r="AO156" s="200">
        <v>194580</v>
      </c>
      <c r="AQ156" s="200">
        <v>268</v>
      </c>
      <c r="AR156" s="200">
        <f t="shared" ref="AR156:AR175" si="213">AP156+AQ156</f>
        <v>268</v>
      </c>
      <c r="AS156" s="200">
        <f t="shared" ref="AS156:AS175" si="214">BB156+AR156</f>
        <v>189655.9473</v>
      </c>
      <c r="AT156" s="200">
        <f t="shared" ref="AT156:AT176" si="215">AS156-AF156</f>
        <v>-17712.0527</v>
      </c>
      <c r="AU156" s="205">
        <f t="shared" ref="AU156:AU176" si="216">AT156/AF156</f>
        <v>-8.5413625535280271E-2</v>
      </c>
      <c r="AV156" s="200">
        <f>AS156-AF156</f>
        <v>-17712.0527</v>
      </c>
      <c r="AW156" s="205">
        <f>AV156/AF156</f>
        <v>-8.5413625535280271E-2</v>
      </c>
      <c r="AX156" s="204">
        <v>192346</v>
      </c>
      <c r="AY156" s="204">
        <f t="shared" si="197"/>
        <v>-15022</v>
      </c>
      <c r="AZ156" s="304">
        <f t="shared" si="198"/>
        <v>-7.2441263840129624E-2</v>
      </c>
      <c r="BA156" s="560">
        <f>191596.11706+1000</f>
        <v>192596.11705999999</v>
      </c>
      <c r="BB156" s="560">
        <f>188387.9473+1000</f>
        <v>189387.9473</v>
      </c>
      <c r="BC156" s="560">
        <f t="shared" ref="BC156:BC175" si="217">BA156-BB156</f>
        <v>3208.1697599999898</v>
      </c>
      <c r="BD156" s="304">
        <f t="shared" ref="BD156:BD174" si="218">BC156/BA156</f>
        <v>1.6657499688846479E-2</v>
      </c>
      <c r="BE156" s="204">
        <v>174738</v>
      </c>
      <c r="BF156" s="204">
        <f t="shared" si="199"/>
        <v>-17608</v>
      </c>
      <c r="BG156" s="304">
        <f t="shared" si="200"/>
        <v>-9.1543364561779292E-2</v>
      </c>
      <c r="BH156" s="200"/>
      <c r="BI156" s="200"/>
      <c r="BJ156" s="200"/>
      <c r="BK156" s="200"/>
      <c r="BL156" s="206">
        <f t="shared" si="201"/>
        <v>174738</v>
      </c>
      <c r="BM156" s="206">
        <f t="shared" si="202"/>
        <v>-14917.9473</v>
      </c>
      <c r="BN156" s="206">
        <v>192439</v>
      </c>
      <c r="BO156" s="206">
        <v>192353</v>
      </c>
      <c r="BP156" s="206">
        <f t="shared" si="191"/>
        <v>17615</v>
      </c>
      <c r="BQ156" s="199">
        <f t="shared" si="203"/>
        <v>-7.8657946204041873E-2</v>
      </c>
      <c r="BR156" s="205">
        <f t="shared" si="192"/>
        <v>0.10080806693449622</v>
      </c>
      <c r="BS156" s="206">
        <v>8640</v>
      </c>
      <c r="BV156" s="66">
        <v>3</v>
      </c>
      <c r="BW156" s="207">
        <f t="shared" si="204"/>
        <v>201082</v>
      </c>
      <c r="BX156" s="206">
        <v>192353</v>
      </c>
      <c r="BY156" s="206"/>
      <c r="BZ156" s="206">
        <v>166134</v>
      </c>
      <c r="CA156" s="206">
        <f t="shared" si="205"/>
        <v>-8604</v>
      </c>
      <c r="CB156" s="199">
        <f t="shared" ref="CB156:CB176" si="219">CA156/BE156</f>
        <v>-4.9239432750746832E-2</v>
      </c>
      <c r="CC156" s="206">
        <v>175738</v>
      </c>
      <c r="CD156" s="206">
        <v>172093</v>
      </c>
      <c r="CE156" s="206"/>
      <c r="CF156" s="206">
        <v>158089</v>
      </c>
      <c r="CG156" s="206">
        <f t="shared" si="206"/>
        <v>-8045</v>
      </c>
      <c r="CH156" s="304">
        <f t="shared" si="207"/>
        <v>-4.8424765550700036E-2</v>
      </c>
      <c r="CI156" s="206">
        <v>169578</v>
      </c>
      <c r="CJ156" s="206"/>
      <c r="CK156" s="206">
        <f t="shared" si="208"/>
        <v>169578</v>
      </c>
      <c r="CL156" s="206">
        <f t="shared" si="184"/>
        <v>11489</v>
      </c>
      <c r="CM156" s="562">
        <f t="shared" si="209"/>
        <v>7.2674253110589601E-2</v>
      </c>
      <c r="CN156" s="200">
        <v>165349</v>
      </c>
      <c r="CO156" s="206">
        <f t="shared" si="185"/>
        <v>-4229</v>
      </c>
      <c r="CP156" s="304">
        <f>CO156/CK156</f>
        <v>-2.4938376440340138E-2</v>
      </c>
    </row>
    <row r="157" spans="1:94" ht="18" customHeight="1" x14ac:dyDescent="0.25">
      <c r="A157" s="312" t="s">
        <v>264</v>
      </c>
      <c r="B157" s="416">
        <f>129177+16</f>
        <v>129193</v>
      </c>
      <c r="C157" s="416">
        <f>217704+0</f>
        <v>217704</v>
      </c>
      <c r="D157" s="416">
        <f>C157-B157</f>
        <v>88511</v>
      </c>
      <c r="E157" s="563">
        <f>(C157-B157)/B157</f>
        <v>0.68510677823101873</v>
      </c>
      <c r="F157" s="204">
        <f>178195+1</f>
        <v>178196</v>
      </c>
      <c r="G157" s="204">
        <f>F157-C157</f>
        <v>-39508</v>
      </c>
      <c r="H157" s="199">
        <f>(F157-C157)/C157</f>
        <v>-0.1814757652592511</v>
      </c>
      <c r="I157" s="204">
        <f>138142</f>
        <v>138142</v>
      </c>
      <c r="J157" s="204">
        <f>I157-F157</f>
        <v>-40054</v>
      </c>
      <c r="K157" s="199">
        <f>(I157-F157)/F157</f>
        <v>-0.22477496689039037</v>
      </c>
      <c r="L157" s="204">
        <v>137771</v>
      </c>
      <c r="M157" s="204">
        <v>-99446</v>
      </c>
      <c r="N157" s="304">
        <v>-0.41921953317005106</v>
      </c>
      <c r="O157" s="204">
        <v>194138</v>
      </c>
      <c r="P157" s="204">
        <f t="shared" si="210"/>
        <v>56367</v>
      </c>
      <c r="Q157" s="304">
        <f>P157/L157</f>
        <v>0.40913544940517232</v>
      </c>
      <c r="R157" s="204">
        <f>199074+26545</f>
        <v>225619</v>
      </c>
      <c r="S157" s="204">
        <f t="shared" si="193"/>
        <v>31481</v>
      </c>
      <c r="T157" s="304">
        <f>S157/O157</f>
        <v>0.16215784648033874</v>
      </c>
      <c r="U157" s="204">
        <f>196393+26524</f>
        <v>222917</v>
      </c>
      <c r="V157" s="204">
        <f t="shared" si="211"/>
        <v>-2702</v>
      </c>
      <c r="W157" s="304">
        <f t="shared" si="212"/>
        <v>-1.1975941742495092E-2</v>
      </c>
      <c r="X157" s="201">
        <f>210216+35067</f>
        <v>245283</v>
      </c>
      <c r="Y157" s="204">
        <f>X157-U157</f>
        <v>22366</v>
      </c>
      <c r="Z157" s="484">
        <f>Y157/U157</f>
        <v>0.1003333079128106</v>
      </c>
      <c r="AA157" s="203">
        <f>213640+32963</f>
        <v>246603</v>
      </c>
      <c r="AB157" s="374">
        <f>AA157-X157</f>
        <v>1320</v>
      </c>
      <c r="AC157" s="205">
        <f>AB157/X157</f>
        <v>5.3815388755029904E-3</v>
      </c>
      <c r="AD157" s="200">
        <v>191390</v>
      </c>
      <c r="AE157" s="200">
        <v>4424</v>
      </c>
      <c r="AF157" s="204">
        <f>195190+21716</f>
        <v>216906</v>
      </c>
      <c r="AG157" s="204">
        <f t="shared" si="194"/>
        <v>-29697</v>
      </c>
      <c r="AH157" s="304">
        <f t="shared" si="195"/>
        <v>-0.12042432573812971</v>
      </c>
      <c r="AI157" s="200">
        <f>AD157-850</f>
        <v>190540</v>
      </c>
      <c r="AJ157" s="200">
        <f>AF157+40</f>
        <v>216946</v>
      </c>
      <c r="AK157" s="66">
        <v>189781</v>
      </c>
      <c r="AL157" s="354">
        <v>2420</v>
      </c>
      <c r="AM157" s="204">
        <f t="shared" si="196"/>
        <v>192201</v>
      </c>
      <c r="AN157" s="200">
        <v>167805</v>
      </c>
      <c r="AO157" s="200">
        <v>172432</v>
      </c>
      <c r="AQ157" s="200">
        <v>922</v>
      </c>
      <c r="AR157" s="200">
        <f t="shared" si="213"/>
        <v>922</v>
      </c>
      <c r="AS157" s="200">
        <f t="shared" si="214"/>
        <v>188427.76788000003</v>
      </c>
      <c r="AT157" s="200">
        <f t="shared" si="215"/>
        <v>-28478.232119999971</v>
      </c>
      <c r="AU157" s="205">
        <f t="shared" si="216"/>
        <v>-0.13129296616967706</v>
      </c>
      <c r="AV157" s="200">
        <f>AS157-AF157</f>
        <v>-28478.232119999971</v>
      </c>
      <c r="AW157" s="205">
        <f>AV157/AF157</f>
        <v>-0.13129296616967706</v>
      </c>
      <c r="AX157" s="204">
        <v>167274</v>
      </c>
      <c r="AY157" s="204">
        <f t="shared" si="197"/>
        <v>-49632</v>
      </c>
      <c r="AZ157" s="304">
        <f t="shared" si="198"/>
        <v>-0.2288180133329645</v>
      </c>
      <c r="BA157" s="560">
        <f>162686.85373+5487.64028</f>
        <v>168174.49400999999</v>
      </c>
      <c r="BB157" s="560">
        <f>160970.87212+4071.89576+22463</f>
        <v>187505.76788000003</v>
      </c>
      <c r="BC157" s="560">
        <f t="shared" si="217"/>
        <v>-19331.273870000034</v>
      </c>
      <c r="BD157" s="304">
        <f t="shared" si="218"/>
        <v>-0.1149477153702663</v>
      </c>
      <c r="BE157" s="204">
        <f>163457+20081</f>
        <v>183538</v>
      </c>
      <c r="BF157" s="204">
        <f t="shared" si="199"/>
        <v>16264</v>
      </c>
      <c r="BG157" s="304">
        <f t="shared" si="200"/>
        <v>9.7229694991451149E-2</v>
      </c>
      <c r="BH157" s="200"/>
      <c r="BI157" s="200"/>
      <c r="BJ157" s="200"/>
      <c r="BK157" s="200"/>
      <c r="BL157" s="206">
        <f t="shared" si="201"/>
        <v>183538</v>
      </c>
      <c r="BM157" s="206">
        <f t="shared" si="202"/>
        <v>-4889.7678800000285</v>
      </c>
      <c r="BN157" s="206">
        <v>170917</v>
      </c>
      <c r="BO157" s="206">
        <v>171917</v>
      </c>
      <c r="BP157" s="206">
        <f t="shared" si="191"/>
        <v>-11621</v>
      </c>
      <c r="BQ157" s="199">
        <f t="shared" si="203"/>
        <v>-2.5950357184690902E-2</v>
      </c>
      <c r="BR157" s="205">
        <f t="shared" si="192"/>
        <v>-6.3316588390415068E-2</v>
      </c>
      <c r="BS157" s="206">
        <v>8486</v>
      </c>
      <c r="BV157" s="66">
        <v>186</v>
      </c>
      <c r="BW157" s="207">
        <f t="shared" si="204"/>
        <v>179589</v>
      </c>
      <c r="BX157" s="206">
        <f>171917+20549</f>
        <v>192466</v>
      </c>
      <c r="BY157" s="206"/>
      <c r="BZ157" s="206">
        <f>175560+20454</f>
        <v>196014</v>
      </c>
      <c r="CA157" s="206">
        <f t="shared" si="205"/>
        <v>12476</v>
      </c>
      <c r="CB157" s="199">
        <f t="shared" si="219"/>
        <v>6.7975024245660293E-2</v>
      </c>
      <c r="CC157" s="206">
        <v>206545</v>
      </c>
      <c r="CD157" s="206">
        <v>208530</v>
      </c>
      <c r="CE157" s="206"/>
      <c r="CF157" s="206">
        <v>208847</v>
      </c>
      <c r="CG157" s="206">
        <f t="shared" si="206"/>
        <v>12833</v>
      </c>
      <c r="CH157" s="304">
        <f t="shared" si="207"/>
        <v>6.5469813380676894E-2</v>
      </c>
      <c r="CI157" s="206">
        <v>235445.1</v>
      </c>
      <c r="CJ157" s="206"/>
      <c r="CK157" s="206">
        <f>CI157+CJ157</f>
        <v>235445.1</v>
      </c>
      <c r="CL157" s="206">
        <f t="shared" si="184"/>
        <v>26598.100000000006</v>
      </c>
      <c r="CM157" s="562">
        <f t="shared" si="209"/>
        <v>0.12735686890403025</v>
      </c>
      <c r="CN157" s="200">
        <v>231106</v>
      </c>
      <c r="CO157" s="206">
        <f>CN157-CK157</f>
        <v>-4339.1000000000058</v>
      </c>
      <c r="CP157" s="304">
        <f t="shared" si="186"/>
        <v>-1.8429349347257623E-2</v>
      </c>
    </row>
    <row r="158" spans="1:94" ht="18" customHeight="1" x14ac:dyDescent="0.25">
      <c r="A158" s="312" t="s">
        <v>265</v>
      </c>
      <c r="B158" s="310"/>
      <c r="C158" s="310"/>
      <c r="D158" s="310"/>
      <c r="E158" s="310"/>
      <c r="F158" s="310"/>
      <c r="G158" s="310"/>
      <c r="H158" s="310"/>
      <c r="I158" s="310"/>
      <c r="J158" s="310"/>
      <c r="K158" s="310"/>
      <c r="L158" s="310"/>
      <c r="M158" s="204"/>
      <c r="N158" s="304"/>
      <c r="O158" s="310"/>
      <c r="P158" s="204"/>
      <c r="Q158" s="394"/>
      <c r="R158" s="204"/>
      <c r="S158" s="204"/>
      <c r="T158" s="394"/>
      <c r="U158" s="204"/>
      <c r="V158" s="204"/>
      <c r="W158" s="394"/>
      <c r="Y158" s="204"/>
      <c r="AB158" s="374"/>
      <c r="AC158" s="395"/>
      <c r="AG158" s="204">
        <f t="shared" si="194"/>
        <v>0</v>
      </c>
      <c r="AH158" s="304" t="e">
        <f t="shared" si="195"/>
        <v>#DIV/0!</v>
      </c>
      <c r="AJ158" s="66">
        <v>0</v>
      </c>
      <c r="AL158" s="354"/>
      <c r="AM158" s="204">
        <f t="shared" si="196"/>
        <v>0</v>
      </c>
      <c r="AN158" s="200">
        <v>0</v>
      </c>
      <c r="AO158" s="200">
        <v>0</v>
      </c>
      <c r="AQ158" s="200"/>
      <c r="AR158" s="200">
        <f t="shared" si="213"/>
        <v>0</v>
      </c>
      <c r="AS158" s="200">
        <f t="shared" si="214"/>
        <v>0</v>
      </c>
      <c r="AT158" s="200">
        <f t="shared" si="215"/>
        <v>0</v>
      </c>
      <c r="AU158" s="205" t="e">
        <f t="shared" si="216"/>
        <v>#DIV/0!</v>
      </c>
      <c r="AV158" s="200"/>
      <c r="AW158" s="205"/>
      <c r="AY158" s="204">
        <f t="shared" si="197"/>
        <v>0</v>
      </c>
      <c r="AZ158" s="304" t="e">
        <f t="shared" si="198"/>
        <v>#DIV/0!</v>
      </c>
      <c r="BC158" s="560">
        <f t="shared" si="217"/>
        <v>0</v>
      </c>
      <c r="BE158" s="204">
        <v>622</v>
      </c>
      <c r="BF158" s="204">
        <f t="shared" si="199"/>
        <v>622</v>
      </c>
      <c r="BG158" s="304" t="e">
        <f t="shared" si="200"/>
        <v>#DIV/0!</v>
      </c>
      <c r="BH158" s="200"/>
      <c r="BI158" s="200"/>
      <c r="BJ158" s="200"/>
      <c r="BK158" s="200"/>
      <c r="BL158" s="206">
        <f t="shared" si="201"/>
        <v>622</v>
      </c>
      <c r="BM158" s="206">
        <f t="shared" si="202"/>
        <v>622</v>
      </c>
      <c r="BN158" s="206">
        <v>700</v>
      </c>
      <c r="BO158" s="206">
        <v>597</v>
      </c>
      <c r="BP158" s="206">
        <f t="shared" si="191"/>
        <v>-25</v>
      </c>
      <c r="BQ158" s="199" t="e">
        <f t="shared" si="203"/>
        <v>#DIV/0!</v>
      </c>
      <c r="BR158" s="205">
        <f t="shared" si="192"/>
        <v>-4.0192926045016078E-2</v>
      </c>
      <c r="BW158" s="207">
        <f t="shared" si="204"/>
        <v>700</v>
      </c>
      <c r="BX158" s="206">
        <v>597</v>
      </c>
      <c r="BY158" s="206"/>
      <c r="BZ158" s="206">
        <v>855</v>
      </c>
      <c r="CA158" s="206">
        <f t="shared" si="205"/>
        <v>233</v>
      </c>
      <c r="CB158" s="199">
        <f t="shared" si="219"/>
        <v>0.37459807073954982</v>
      </c>
      <c r="CC158" s="206">
        <v>1945</v>
      </c>
      <c r="CD158" s="206">
        <v>1945</v>
      </c>
      <c r="CE158" s="206"/>
      <c r="CF158" s="206">
        <v>1126</v>
      </c>
      <c r="CG158" s="206">
        <f t="shared" si="206"/>
        <v>271</v>
      </c>
      <c r="CH158" s="304">
        <f t="shared" si="207"/>
        <v>0.31695906432748538</v>
      </c>
      <c r="CI158" s="206">
        <f>1172</f>
        <v>1172</v>
      </c>
      <c r="CJ158" s="206"/>
      <c r="CK158" s="206">
        <f t="shared" ref="CK158:CK175" si="220">CI158+CJ158</f>
        <v>1172</v>
      </c>
      <c r="CL158" s="206">
        <f t="shared" si="184"/>
        <v>46</v>
      </c>
      <c r="CM158" s="562">
        <f t="shared" si="209"/>
        <v>4.0852575488454709E-2</v>
      </c>
      <c r="CN158" s="200">
        <v>1391</v>
      </c>
      <c r="CO158" s="206">
        <f t="shared" si="185"/>
        <v>219</v>
      </c>
      <c r="CP158" s="304">
        <f t="shared" si="186"/>
        <v>0.18686006825938567</v>
      </c>
    </row>
    <row r="159" spans="1:94" ht="18" customHeight="1" x14ac:dyDescent="0.25">
      <c r="A159" s="312" t="s">
        <v>266</v>
      </c>
      <c r="B159" s="416">
        <f>(325339+8354)-B172</f>
        <v>75167</v>
      </c>
      <c r="C159" s="416">
        <f>(356499+8900)-C172</f>
        <v>94023</v>
      </c>
      <c r="D159" s="416">
        <f t="shared" ref="D159:D172" si="221">C159-B159</f>
        <v>18856</v>
      </c>
      <c r="E159" s="563">
        <f t="shared" ref="E159:E166" si="222">(C159-B159)/B159</f>
        <v>0.25085476339351043</v>
      </c>
      <c r="F159" s="204">
        <f>(422735+9389)-F172</f>
        <v>75000</v>
      </c>
      <c r="G159" s="204">
        <f t="shared" ref="G159:G172" si="223">F159-C159</f>
        <v>-19023</v>
      </c>
      <c r="H159" s="199">
        <f t="shared" ref="H159:H167" si="224">(F159-C159)/C159</f>
        <v>-0.20232283590185379</v>
      </c>
      <c r="I159" s="204">
        <f>(479853+13696)-I172</f>
        <v>75161</v>
      </c>
      <c r="J159" s="204">
        <f t="shared" ref="J159:J172" si="225">I159-F159</f>
        <v>161</v>
      </c>
      <c r="K159" s="199">
        <f t="shared" ref="K159:K169" si="226">(I159-F159)/F159</f>
        <v>2.1466666666666665E-3</v>
      </c>
      <c r="L159" s="204">
        <f>472382-L172</f>
        <v>39869</v>
      </c>
      <c r="M159" s="204">
        <v>-21167</v>
      </c>
      <c r="N159" s="304">
        <v>-4.288733236213628E-2</v>
      </c>
      <c r="O159" s="203">
        <f>530404-O172</f>
        <v>85423</v>
      </c>
      <c r="P159" s="204">
        <f t="shared" si="210"/>
        <v>45554</v>
      </c>
      <c r="Q159" s="304">
        <f t="shared" ref="Q159:Q172" si="227">P159/L159</f>
        <v>1.1425919887631995</v>
      </c>
      <c r="R159" s="204">
        <f>582107-R172-26545</f>
        <v>68851</v>
      </c>
      <c r="S159" s="204">
        <f t="shared" si="193"/>
        <v>-16572</v>
      </c>
      <c r="T159" s="304">
        <f t="shared" ref="T159:T172" si="228">S159/O159</f>
        <v>-0.19399927420015686</v>
      </c>
      <c r="U159" s="204">
        <f>642434-U172-26524</f>
        <v>68473</v>
      </c>
      <c r="V159" s="204">
        <f t="shared" si="211"/>
        <v>-378</v>
      </c>
      <c r="W159" s="304">
        <f t="shared" si="212"/>
        <v>-5.4901163381795475E-3</v>
      </c>
      <c r="X159" s="201">
        <f>676559-X172-35067</f>
        <v>67883</v>
      </c>
      <c r="Y159" s="204">
        <f t="shared" ref="Y159:Y176" si="229">X159-U159</f>
        <v>-590</v>
      </c>
      <c r="Z159" s="484">
        <f t="shared" ref="Z159:Z172" si="230">Y159/U159</f>
        <v>-8.6165349845924669E-3</v>
      </c>
      <c r="AA159" s="203">
        <f>109709-32963</f>
        <v>76746</v>
      </c>
      <c r="AB159" s="374">
        <f t="shared" ref="AB159:AB172" si="231">AA159-X159</f>
        <v>8863</v>
      </c>
      <c r="AC159" s="205">
        <f t="shared" ref="AC159:AC171" si="232">AB159/X159</f>
        <v>0.13056288024984164</v>
      </c>
      <c r="AD159" s="200">
        <v>78190</v>
      </c>
      <c r="AE159" s="200">
        <v>14272</v>
      </c>
      <c r="AF159" s="204">
        <f>96296-21716</f>
        <v>74580</v>
      </c>
      <c r="AG159" s="204">
        <f t="shared" si="194"/>
        <v>-2166</v>
      </c>
      <c r="AH159" s="304">
        <f t="shared" si="195"/>
        <v>-2.8222969275271674E-2</v>
      </c>
      <c r="AI159" s="200">
        <f>AD159-2049</f>
        <v>76141</v>
      </c>
      <c r="AJ159" s="200">
        <f>AF159-2326</f>
        <v>72254</v>
      </c>
      <c r="AK159" s="68">
        <v>80559</v>
      </c>
      <c r="AL159" s="354"/>
      <c r="AM159" s="204">
        <f t="shared" si="196"/>
        <v>80559</v>
      </c>
      <c r="AN159" s="200">
        <v>73448</v>
      </c>
      <c r="AO159" s="200">
        <v>88400</v>
      </c>
      <c r="AQ159" s="200"/>
      <c r="AR159" s="200">
        <f t="shared" si="213"/>
        <v>0</v>
      </c>
      <c r="AS159" s="200">
        <f t="shared" si="214"/>
        <v>64138.127980000005</v>
      </c>
      <c r="AT159" s="200">
        <f t="shared" si="215"/>
        <v>-10441.872019999995</v>
      </c>
      <c r="AU159" s="205">
        <f t="shared" si="216"/>
        <v>-0.14000901072673633</v>
      </c>
      <c r="AV159" s="200">
        <f t="shared" ref="AV159:AV165" si="233">AS159-AF159</f>
        <v>-10441.872019999995</v>
      </c>
      <c r="AW159" s="205">
        <f t="shared" ref="AW159:AW165" si="234">AV159/AF159</f>
        <v>-0.14000901072673633</v>
      </c>
      <c r="AX159" s="204">
        <v>87102</v>
      </c>
      <c r="AY159" s="204">
        <f t="shared" si="197"/>
        <v>12522</v>
      </c>
      <c r="AZ159" s="304">
        <f t="shared" si="198"/>
        <v>0.16790024135156878</v>
      </c>
      <c r="BA159" s="560">
        <f>74017.80624+16878.62667</f>
        <v>90896.432910000003</v>
      </c>
      <c r="BB159" s="560">
        <f>72814.55601+13786.57197-22463</f>
        <v>64138.127980000005</v>
      </c>
      <c r="BC159" s="560">
        <f t="shared" si="217"/>
        <v>26758.304929999998</v>
      </c>
      <c r="BD159" s="304">
        <f t="shared" si="218"/>
        <v>0.29438234343579145</v>
      </c>
      <c r="BE159" s="204">
        <f>96213-20081</f>
        <v>76132</v>
      </c>
      <c r="BF159" s="204">
        <f t="shared" si="199"/>
        <v>-10970</v>
      </c>
      <c r="BG159" s="304">
        <f t="shared" si="200"/>
        <v>-0.12594429519414022</v>
      </c>
      <c r="BH159" s="200"/>
      <c r="BI159" s="200"/>
      <c r="BJ159" s="200"/>
      <c r="BK159" s="200"/>
      <c r="BL159" s="206">
        <f t="shared" si="201"/>
        <v>76132</v>
      </c>
      <c r="BM159" s="206">
        <f t="shared" si="202"/>
        <v>11993.872019999995</v>
      </c>
      <c r="BN159" s="206">
        <v>99377</v>
      </c>
      <c r="BO159" s="206">
        <v>99922</v>
      </c>
      <c r="BP159" s="206">
        <f t="shared" si="191"/>
        <v>23790</v>
      </c>
      <c r="BQ159" s="199">
        <f t="shared" si="203"/>
        <v>0.18700065620468387</v>
      </c>
      <c r="BR159" s="205">
        <f t="shared" si="192"/>
        <v>0.31248358114853148</v>
      </c>
      <c r="BS159" s="206">
        <v>17814</v>
      </c>
      <c r="BV159" s="66">
        <v>7</v>
      </c>
      <c r="BW159" s="207">
        <f t="shared" si="204"/>
        <v>117198</v>
      </c>
      <c r="BX159" s="206">
        <f>99922-20549</f>
        <v>79373</v>
      </c>
      <c r="BY159" s="206"/>
      <c r="BZ159" s="206">
        <f>96880-20454</f>
        <v>76426</v>
      </c>
      <c r="CA159" s="206">
        <f t="shared" si="205"/>
        <v>294</v>
      </c>
      <c r="CB159" s="199">
        <f t="shared" si="219"/>
        <v>3.8617138653916881E-3</v>
      </c>
      <c r="CC159" s="206">
        <v>81810</v>
      </c>
      <c r="CD159" s="206">
        <v>81730</v>
      </c>
      <c r="CE159" s="206"/>
      <c r="CF159" s="206">
        <v>78413</v>
      </c>
      <c r="CG159" s="206">
        <f t="shared" si="206"/>
        <v>1987</v>
      </c>
      <c r="CH159" s="304">
        <f t="shared" si="207"/>
        <v>2.5999005574019313E-2</v>
      </c>
      <c r="CI159" s="206">
        <v>91995</v>
      </c>
      <c r="CJ159" s="206"/>
      <c r="CK159" s="206">
        <f t="shared" si="220"/>
        <v>91995</v>
      </c>
      <c r="CL159" s="206">
        <f t="shared" si="184"/>
        <v>13582</v>
      </c>
      <c r="CM159" s="562">
        <f t="shared" si="209"/>
        <v>0.17321107469424712</v>
      </c>
      <c r="CN159" s="200">
        <v>88477</v>
      </c>
      <c r="CO159" s="206">
        <f>CN159-CK159</f>
        <v>-3518</v>
      </c>
      <c r="CP159" s="304">
        <f t="shared" si="186"/>
        <v>-3.8241208761345728E-2</v>
      </c>
    </row>
    <row r="160" spans="1:94" s="148" customFormat="1" ht="18" customHeight="1" x14ac:dyDescent="0.25">
      <c r="A160" s="312" t="s">
        <v>267</v>
      </c>
      <c r="B160" s="416">
        <f>24577+2155</f>
        <v>26732</v>
      </c>
      <c r="C160" s="416">
        <f>26636+609</f>
        <v>27245</v>
      </c>
      <c r="D160" s="416">
        <f t="shared" si="221"/>
        <v>513</v>
      </c>
      <c r="E160" s="563">
        <f t="shared" si="222"/>
        <v>1.9190483315876104E-2</v>
      </c>
      <c r="F160" s="203">
        <f>29438+975</f>
        <v>30413</v>
      </c>
      <c r="G160" s="203">
        <f t="shared" si="223"/>
        <v>3168</v>
      </c>
      <c r="H160" s="362">
        <f t="shared" si="224"/>
        <v>0.11627821618645623</v>
      </c>
      <c r="I160" s="203">
        <f>31090+1014</f>
        <v>32104</v>
      </c>
      <c r="J160" s="203">
        <f t="shared" si="225"/>
        <v>1691</v>
      </c>
      <c r="K160" s="362">
        <f t="shared" si="226"/>
        <v>5.560122316114819E-2</v>
      </c>
      <c r="L160" s="203">
        <v>32538</v>
      </c>
      <c r="M160" s="203">
        <v>435</v>
      </c>
      <c r="N160" s="397">
        <v>1.3550135501355014E-2</v>
      </c>
      <c r="O160" s="203">
        <v>35352</v>
      </c>
      <c r="P160" s="203">
        <f t="shared" si="210"/>
        <v>2814</v>
      </c>
      <c r="Q160" s="397">
        <f t="shared" si="227"/>
        <v>8.6483496219804543E-2</v>
      </c>
      <c r="R160" s="203">
        <v>43693</v>
      </c>
      <c r="S160" s="203">
        <f t="shared" si="193"/>
        <v>8341</v>
      </c>
      <c r="T160" s="397">
        <f t="shared" si="228"/>
        <v>0.23594138945462775</v>
      </c>
      <c r="U160" s="203">
        <v>47812</v>
      </c>
      <c r="V160" s="203">
        <f t="shared" si="211"/>
        <v>4119</v>
      </c>
      <c r="W160" s="397">
        <f t="shared" si="212"/>
        <v>9.427139358707344E-2</v>
      </c>
      <c r="X160" s="201">
        <v>53024</v>
      </c>
      <c r="Y160" s="203">
        <f t="shared" si="229"/>
        <v>5212</v>
      </c>
      <c r="Z160" s="484">
        <f t="shared" si="230"/>
        <v>0.10901029030368944</v>
      </c>
      <c r="AA160" s="203">
        <v>47312</v>
      </c>
      <c r="AB160" s="564">
        <f t="shared" si="231"/>
        <v>-5712</v>
      </c>
      <c r="AC160" s="485">
        <f t="shared" si="232"/>
        <v>-0.10772480386240194</v>
      </c>
      <c r="AD160" s="418">
        <v>39625</v>
      </c>
      <c r="AE160" s="418">
        <v>2014</v>
      </c>
      <c r="AF160" s="203">
        <v>48510</v>
      </c>
      <c r="AG160" s="203">
        <f t="shared" si="194"/>
        <v>1198</v>
      </c>
      <c r="AH160" s="397">
        <f t="shared" si="195"/>
        <v>2.5321271559012513E-2</v>
      </c>
      <c r="AI160" s="418">
        <f>AD160+3092</f>
        <v>42717</v>
      </c>
      <c r="AJ160" s="418">
        <f>AF160+3092</f>
        <v>51602</v>
      </c>
      <c r="AK160" s="68">
        <v>46325</v>
      </c>
      <c r="AL160" s="354">
        <v>350</v>
      </c>
      <c r="AM160" s="203">
        <f t="shared" si="196"/>
        <v>46675</v>
      </c>
      <c r="AN160" s="418">
        <v>38666</v>
      </c>
      <c r="AO160" s="418">
        <v>40065</v>
      </c>
      <c r="AP160" s="418">
        <v>4663</v>
      </c>
      <c r="AQ160" s="418">
        <v>603</v>
      </c>
      <c r="AR160" s="418">
        <f t="shared" si="213"/>
        <v>5266</v>
      </c>
      <c r="AS160" s="200">
        <f t="shared" si="214"/>
        <v>43667.288260000001</v>
      </c>
      <c r="AT160" s="418">
        <f t="shared" si="215"/>
        <v>-4842.7117399999988</v>
      </c>
      <c r="AU160" s="485">
        <f t="shared" si="216"/>
        <v>-9.982914326942896E-2</v>
      </c>
      <c r="AV160" s="418">
        <f t="shared" si="233"/>
        <v>-4842.7117399999988</v>
      </c>
      <c r="AW160" s="485">
        <f t="shared" si="234"/>
        <v>-9.982914326942896E-2</v>
      </c>
      <c r="AX160" s="203">
        <f>38972+658</f>
        <v>39630</v>
      </c>
      <c r="AY160" s="203">
        <f t="shared" si="197"/>
        <v>-8880</v>
      </c>
      <c r="AZ160" s="397">
        <f t="shared" si="198"/>
        <v>-0.18305504019789734</v>
      </c>
      <c r="BA160" s="560">
        <f>38567.28803+1394.5968</f>
        <v>39961.884830000003</v>
      </c>
      <c r="BB160" s="560">
        <f>37326.16925+1075.11901</f>
        <v>38401.288260000001</v>
      </c>
      <c r="BC160" s="560">
        <f t="shared" si="217"/>
        <v>1560.5965700000015</v>
      </c>
      <c r="BD160" s="304">
        <f t="shared" si="218"/>
        <v>3.9052126210734624E-2</v>
      </c>
      <c r="BE160" s="203">
        <f>32971+8627</f>
        <v>41598</v>
      </c>
      <c r="BF160" s="203">
        <f t="shared" si="199"/>
        <v>1968</v>
      </c>
      <c r="BG160" s="397">
        <f t="shared" si="200"/>
        <v>4.9659348978046934E-2</v>
      </c>
      <c r="BH160" s="418">
        <f>3467+10016</f>
        <v>13483</v>
      </c>
      <c r="BI160" s="418"/>
      <c r="BJ160" s="418"/>
      <c r="BK160" s="418">
        <v>252</v>
      </c>
      <c r="BL160" s="309">
        <f t="shared" si="201"/>
        <v>55333</v>
      </c>
      <c r="BM160" s="309">
        <f t="shared" si="202"/>
        <v>11665.711739999999</v>
      </c>
      <c r="BN160" s="309">
        <f>35866+9794</f>
        <v>45660</v>
      </c>
      <c r="BO160" s="309">
        <f>35866+9794</f>
        <v>45660</v>
      </c>
      <c r="BP160" s="206">
        <f t="shared" si="191"/>
        <v>4062</v>
      </c>
      <c r="BQ160" s="362">
        <f t="shared" si="203"/>
        <v>0.26714990110081999</v>
      </c>
      <c r="BR160" s="205">
        <f t="shared" si="192"/>
        <v>9.7648925429107164E-2</v>
      </c>
      <c r="BS160" s="309">
        <v>5014</v>
      </c>
      <c r="BV160" s="148">
        <v>5</v>
      </c>
      <c r="BW160" s="207">
        <f t="shared" si="204"/>
        <v>50679</v>
      </c>
      <c r="BX160" s="206">
        <f>35866+9794</f>
        <v>45660</v>
      </c>
      <c r="BY160" s="206"/>
      <c r="BZ160" s="206">
        <v>34846</v>
      </c>
      <c r="CA160" s="206">
        <f t="shared" si="205"/>
        <v>-6752</v>
      </c>
      <c r="CB160" s="199">
        <f t="shared" si="219"/>
        <v>-0.16231549593730468</v>
      </c>
      <c r="CC160" s="309">
        <f>37150+10096</f>
        <v>47246</v>
      </c>
      <c r="CD160" s="309">
        <f>37050+10096</f>
        <v>47146</v>
      </c>
      <c r="CE160" s="309">
        <v>1905</v>
      </c>
      <c r="CF160" s="309">
        <v>36968</v>
      </c>
      <c r="CG160" s="206">
        <f t="shared" si="206"/>
        <v>2122</v>
      </c>
      <c r="CH160" s="304">
        <f t="shared" si="207"/>
        <v>6.0896516099408826E-2</v>
      </c>
      <c r="CI160" s="309">
        <f>43297+17105</f>
        <v>60402</v>
      </c>
      <c r="CJ160" s="309">
        <v>1750</v>
      </c>
      <c r="CK160" s="206">
        <f t="shared" si="220"/>
        <v>62152</v>
      </c>
      <c r="CL160" s="206">
        <f t="shared" si="184"/>
        <v>25184</v>
      </c>
      <c r="CM160" s="562">
        <f t="shared" si="209"/>
        <v>0.68123782731010607</v>
      </c>
      <c r="CN160" s="418">
        <f>41778+17599</f>
        <v>59377</v>
      </c>
      <c r="CO160" s="206">
        <f>CN160-CK160</f>
        <v>-2775</v>
      </c>
      <c r="CP160" s="304">
        <f t="shared" si="186"/>
        <v>-4.4648603423864078E-2</v>
      </c>
    </row>
    <row r="161" spans="1:94" s="148" customFormat="1" ht="18" customHeight="1" x14ac:dyDescent="0.25">
      <c r="A161" s="312" t="s">
        <v>268</v>
      </c>
      <c r="B161" s="416">
        <f>13065+108</f>
        <v>13173</v>
      </c>
      <c r="C161" s="416">
        <f>14470+0</f>
        <v>14470</v>
      </c>
      <c r="D161" s="416">
        <f t="shared" si="221"/>
        <v>1297</v>
      </c>
      <c r="E161" s="563">
        <f t="shared" si="222"/>
        <v>9.8458969103469213E-2</v>
      </c>
      <c r="F161" s="203">
        <f>14146</f>
        <v>14146</v>
      </c>
      <c r="G161" s="203">
        <f t="shared" si="223"/>
        <v>-324</v>
      </c>
      <c r="H161" s="362">
        <f t="shared" si="224"/>
        <v>-2.2391154111955771E-2</v>
      </c>
      <c r="I161" s="203">
        <v>14040</v>
      </c>
      <c r="J161" s="203">
        <f t="shared" si="225"/>
        <v>-106</v>
      </c>
      <c r="K161" s="362">
        <f t="shared" si="226"/>
        <v>-7.4932843206560159E-3</v>
      </c>
      <c r="L161" s="203">
        <v>14649</v>
      </c>
      <c r="M161" s="203">
        <v>609</v>
      </c>
      <c r="N161" s="397">
        <v>4.3376068376068375E-2</v>
      </c>
      <c r="O161" s="203">
        <v>13990</v>
      </c>
      <c r="P161" s="203">
        <f t="shared" si="210"/>
        <v>-659</v>
      </c>
      <c r="Q161" s="397">
        <f t="shared" si="227"/>
        <v>-4.4986005870707897E-2</v>
      </c>
      <c r="R161" s="203">
        <v>14681</v>
      </c>
      <c r="S161" s="203">
        <f t="shared" si="193"/>
        <v>691</v>
      </c>
      <c r="T161" s="397">
        <f t="shared" si="228"/>
        <v>4.9392423159399568E-2</v>
      </c>
      <c r="U161" s="203">
        <v>16460</v>
      </c>
      <c r="V161" s="203">
        <f t="shared" si="211"/>
        <v>1779</v>
      </c>
      <c r="W161" s="397">
        <f t="shared" si="212"/>
        <v>0.12117703153736122</v>
      </c>
      <c r="X161" s="201">
        <v>17198</v>
      </c>
      <c r="Y161" s="203">
        <f t="shared" si="229"/>
        <v>738</v>
      </c>
      <c r="Z161" s="484">
        <f t="shared" si="230"/>
        <v>4.4835965978128799E-2</v>
      </c>
      <c r="AA161" s="203">
        <v>17525</v>
      </c>
      <c r="AB161" s="564">
        <f t="shared" si="231"/>
        <v>327</v>
      </c>
      <c r="AC161" s="485">
        <f t="shared" si="232"/>
        <v>1.9013838818467264E-2</v>
      </c>
      <c r="AD161" s="418">
        <v>16218</v>
      </c>
      <c r="AE161" s="418"/>
      <c r="AF161" s="203">
        <v>16638</v>
      </c>
      <c r="AG161" s="203">
        <f t="shared" si="194"/>
        <v>-887</v>
      </c>
      <c r="AH161" s="397">
        <f t="shared" si="195"/>
        <v>-5.0613409415121255E-2</v>
      </c>
      <c r="AI161" s="418">
        <f>AD161+2200</f>
        <v>18418</v>
      </c>
      <c r="AJ161" s="418">
        <f>AF161+2200</f>
        <v>18838</v>
      </c>
      <c r="AK161" s="68">
        <v>16184</v>
      </c>
      <c r="AL161" s="354">
        <v>155</v>
      </c>
      <c r="AM161" s="203">
        <f t="shared" si="196"/>
        <v>16339</v>
      </c>
      <c r="AN161" s="418">
        <v>15758</v>
      </c>
      <c r="AO161" s="418">
        <v>15758</v>
      </c>
      <c r="AP161" s="148">
        <v>349</v>
      </c>
      <c r="AQ161" s="418">
        <v>38</v>
      </c>
      <c r="AR161" s="418">
        <f t="shared" si="213"/>
        <v>387</v>
      </c>
      <c r="AS161" s="200">
        <f t="shared" si="214"/>
        <v>17010.1865</v>
      </c>
      <c r="AT161" s="418">
        <f t="shared" si="215"/>
        <v>372.1864999999998</v>
      </c>
      <c r="AU161" s="485">
        <f t="shared" si="216"/>
        <v>2.2369665825219365E-2</v>
      </c>
      <c r="AV161" s="418">
        <f t="shared" si="233"/>
        <v>372.1864999999998</v>
      </c>
      <c r="AW161" s="485">
        <f t="shared" si="234"/>
        <v>2.2369665825219365E-2</v>
      </c>
      <c r="AX161" s="203">
        <v>16165</v>
      </c>
      <c r="AY161" s="203">
        <f t="shared" si="197"/>
        <v>-473</v>
      </c>
      <c r="AZ161" s="397">
        <f t="shared" si="198"/>
        <v>-2.8428897704050968E-2</v>
      </c>
      <c r="BA161" s="560">
        <v>16678.645189999999</v>
      </c>
      <c r="BB161" s="560">
        <v>16623.1865</v>
      </c>
      <c r="BC161" s="560">
        <f t="shared" si="217"/>
        <v>55.458689999999478</v>
      </c>
      <c r="BD161" s="304">
        <f t="shared" si="218"/>
        <v>3.3251315900197217E-3</v>
      </c>
      <c r="BE161" s="203">
        <v>16719</v>
      </c>
      <c r="BF161" s="203">
        <f t="shared" si="199"/>
        <v>554</v>
      </c>
      <c r="BG161" s="397">
        <f t="shared" si="200"/>
        <v>3.4271574389112276E-2</v>
      </c>
      <c r="BH161" s="418">
        <v>347</v>
      </c>
      <c r="BI161" s="418"/>
      <c r="BJ161" s="418"/>
      <c r="BK161" s="418">
        <v>49</v>
      </c>
      <c r="BL161" s="309">
        <f t="shared" si="201"/>
        <v>17115</v>
      </c>
      <c r="BM161" s="309">
        <f t="shared" si="202"/>
        <v>104.8135000000002</v>
      </c>
      <c r="BN161" s="309">
        <v>16153</v>
      </c>
      <c r="BO161" s="309">
        <v>16620</v>
      </c>
      <c r="BP161" s="206">
        <f t="shared" si="191"/>
        <v>-99</v>
      </c>
      <c r="BQ161" s="362">
        <f t="shared" si="203"/>
        <v>6.1618078085152218E-3</v>
      </c>
      <c r="BR161" s="205">
        <f t="shared" si="192"/>
        <v>-5.921406782702315E-3</v>
      </c>
      <c r="BS161" s="309">
        <v>2058</v>
      </c>
      <c r="BV161" s="148">
        <v>0</v>
      </c>
      <c r="BW161" s="207">
        <f t="shared" si="204"/>
        <v>18211</v>
      </c>
      <c r="BX161" s="206">
        <v>16620</v>
      </c>
      <c r="BY161" s="206"/>
      <c r="BZ161" s="206">
        <v>18912</v>
      </c>
      <c r="CA161" s="206">
        <f t="shared" si="205"/>
        <v>2193</v>
      </c>
      <c r="CB161" s="199">
        <f t="shared" si="219"/>
        <v>0.13116813206531491</v>
      </c>
      <c r="CC161" s="309">
        <v>20504</v>
      </c>
      <c r="CD161" s="309">
        <v>25957</v>
      </c>
      <c r="CE161" s="309"/>
      <c r="CF161" s="206">
        <v>27884</v>
      </c>
      <c r="CG161" s="206">
        <f t="shared" si="206"/>
        <v>8972</v>
      </c>
      <c r="CH161" s="304">
        <f t="shared" si="207"/>
        <v>0.47440778341793571</v>
      </c>
      <c r="CI161" s="309">
        <v>32974</v>
      </c>
      <c r="CJ161" s="309">
        <v>-200</v>
      </c>
      <c r="CK161" s="206">
        <f t="shared" si="220"/>
        <v>32774</v>
      </c>
      <c r="CL161" s="206">
        <f t="shared" si="184"/>
        <v>4890</v>
      </c>
      <c r="CM161" s="562">
        <f t="shared" si="209"/>
        <v>0.17536938746234398</v>
      </c>
      <c r="CN161" s="418">
        <v>31069</v>
      </c>
      <c r="CO161" s="206">
        <f t="shared" si="185"/>
        <v>-1705</v>
      </c>
      <c r="CP161" s="304">
        <f t="shared" si="186"/>
        <v>-5.2022945017391832E-2</v>
      </c>
    </row>
    <row r="162" spans="1:94" ht="18" customHeight="1" x14ac:dyDescent="0.25">
      <c r="A162" s="312" t="s">
        <v>269</v>
      </c>
      <c r="B162" s="302">
        <v>4133</v>
      </c>
      <c r="C162" s="302">
        <v>3838</v>
      </c>
      <c r="D162" s="416">
        <f t="shared" si="221"/>
        <v>-295</v>
      </c>
      <c r="E162" s="563">
        <f t="shared" si="222"/>
        <v>-7.1376723929349142E-2</v>
      </c>
      <c r="F162" s="204">
        <v>9182</v>
      </c>
      <c r="G162" s="204">
        <f t="shared" si="223"/>
        <v>5344</v>
      </c>
      <c r="H162" s="199">
        <f t="shared" si="224"/>
        <v>1.3923918707660239</v>
      </c>
      <c r="I162" s="204">
        <v>8967</v>
      </c>
      <c r="J162" s="204">
        <f t="shared" si="225"/>
        <v>-215</v>
      </c>
      <c r="K162" s="199">
        <f t="shared" si="226"/>
        <v>-2.3415377913308649E-2</v>
      </c>
      <c r="L162" s="204">
        <v>5498</v>
      </c>
      <c r="M162" s="204">
        <v>-3469</v>
      </c>
      <c r="N162" s="304">
        <v>-0.38686294189807069</v>
      </c>
      <c r="O162" s="204">
        <v>5198</v>
      </c>
      <c r="P162" s="204">
        <f t="shared" si="210"/>
        <v>-300</v>
      </c>
      <c r="Q162" s="304">
        <f t="shared" si="227"/>
        <v>-5.4565296471444161E-2</v>
      </c>
      <c r="R162" s="204">
        <v>5056</v>
      </c>
      <c r="S162" s="204">
        <f t="shared" si="193"/>
        <v>-142</v>
      </c>
      <c r="T162" s="304">
        <f t="shared" si="228"/>
        <v>-2.7318199307425933E-2</v>
      </c>
      <c r="U162" s="204">
        <v>5250</v>
      </c>
      <c r="V162" s="204">
        <f t="shared" si="211"/>
        <v>194</v>
      </c>
      <c r="W162" s="304">
        <f t="shared" si="212"/>
        <v>3.8370253164556965E-2</v>
      </c>
      <c r="X162" s="201">
        <v>6459</v>
      </c>
      <c r="Y162" s="204">
        <f t="shared" si="229"/>
        <v>1209</v>
      </c>
      <c r="Z162" s="484">
        <f t="shared" si="230"/>
        <v>0.23028571428571429</v>
      </c>
      <c r="AA162" s="203">
        <v>5500</v>
      </c>
      <c r="AB162" s="374">
        <f t="shared" si="231"/>
        <v>-959</v>
      </c>
      <c r="AC162" s="205">
        <f t="shared" si="232"/>
        <v>-0.1484749961294318</v>
      </c>
      <c r="AD162" s="200">
        <v>11136</v>
      </c>
      <c r="AE162" s="200"/>
      <c r="AF162" s="204">
        <v>17231</v>
      </c>
      <c r="AG162" s="204">
        <f t="shared" si="194"/>
        <v>11731</v>
      </c>
      <c r="AH162" s="304">
        <f t="shared" si="195"/>
        <v>2.1329090909090911</v>
      </c>
      <c r="AI162" s="200">
        <f>AD162+6900</f>
        <v>18036</v>
      </c>
      <c r="AJ162" s="200">
        <f>AF162+6900</f>
        <v>24131</v>
      </c>
      <c r="AK162" s="68">
        <v>11136</v>
      </c>
      <c r="AL162" s="354"/>
      <c r="AM162" s="204">
        <f t="shared" si="196"/>
        <v>11136</v>
      </c>
      <c r="AN162" s="200">
        <v>18512</v>
      </c>
      <c r="AO162" s="200">
        <v>18512</v>
      </c>
      <c r="AQ162" s="200"/>
      <c r="AR162" s="200">
        <f t="shared" si="213"/>
        <v>0</v>
      </c>
      <c r="AS162" s="200">
        <f t="shared" si="214"/>
        <v>16325.28104</v>
      </c>
      <c r="AT162" s="200">
        <f t="shared" si="215"/>
        <v>-905.71896000000015</v>
      </c>
      <c r="AU162" s="205">
        <f t="shared" si="216"/>
        <v>-5.2563342812373057E-2</v>
      </c>
      <c r="AV162" s="200">
        <f t="shared" si="233"/>
        <v>-905.71896000000015</v>
      </c>
      <c r="AW162" s="205">
        <f t="shared" si="234"/>
        <v>-5.2563342812373057E-2</v>
      </c>
      <c r="AX162" s="204">
        <v>18512</v>
      </c>
      <c r="AY162" s="204">
        <f t="shared" si="197"/>
        <v>1281</v>
      </c>
      <c r="AZ162" s="304">
        <f t="shared" si="198"/>
        <v>7.434275433811155E-2</v>
      </c>
      <c r="BA162" s="560">
        <v>18512</v>
      </c>
      <c r="BB162" s="560">
        <v>16325.28104</v>
      </c>
      <c r="BC162" s="560">
        <f t="shared" si="217"/>
        <v>2186.7189600000002</v>
      </c>
      <c r="BD162" s="304">
        <f t="shared" si="218"/>
        <v>0.1181244036300778</v>
      </c>
      <c r="BE162" s="204">
        <v>12203</v>
      </c>
      <c r="BF162" s="204">
        <f t="shared" si="199"/>
        <v>-6309</v>
      </c>
      <c r="BG162" s="304">
        <f t="shared" si="200"/>
        <v>-0.34080596369922211</v>
      </c>
      <c r="BH162" s="200"/>
      <c r="BI162" s="200"/>
      <c r="BJ162" s="200"/>
      <c r="BK162" s="200"/>
      <c r="BL162" s="206">
        <f t="shared" si="201"/>
        <v>12203</v>
      </c>
      <c r="BM162" s="206">
        <f t="shared" si="202"/>
        <v>-4122.2810399999998</v>
      </c>
      <c r="BN162" s="206">
        <v>6512</v>
      </c>
      <c r="BO162" s="206">
        <v>6512</v>
      </c>
      <c r="BP162" s="206">
        <f t="shared" si="191"/>
        <v>-5691</v>
      </c>
      <c r="BQ162" s="199">
        <f t="shared" si="203"/>
        <v>-0.2525090398076234</v>
      </c>
      <c r="BR162" s="205">
        <f t="shared" si="192"/>
        <v>-0.46636073096779479</v>
      </c>
      <c r="BW162" s="207">
        <f t="shared" si="204"/>
        <v>6512</v>
      </c>
      <c r="BX162" s="206">
        <v>6512</v>
      </c>
      <c r="BY162" s="206"/>
      <c r="BZ162" s="206">
        <v>7668</v>
      </c>
      <c r="CA162" s="206">
        <f t="shared" si="205"/>
        <v>-4535</v>
      </c>
      <c r="CB162" s="199">
        <f t="shared" si="219"/>
        <v>-0.37162992706711462</v>
      </c>
      <c r="CC162" s="206">
        <v>6887</v>
      </c>
      <c r="CD162" s="206">
        <v>6887</v>
      </c>
      <c r="CE162" s="206"/>
      <c r="CF162" s="206">
        <v>6620</v>
      </c>
      <c r="CG162" s="206">
        <f t="shared" si="206"/>
        <v>-1048</v>
      </c>
      <c r="CH162" s="304">
        <f t="shared" si="207"/>
        <v>-0.1366718831507564</v>
      </c>
      <c r="CI162" s="206">
        <v>6887</v>
      </c>
      <c r="CJ162" s="206"/>
      <c r="CK162" s="206">
        <f t="shared" si="220"/>
        <v>6887</v>
      </c>
      <c r="CL162" s="206">
        <f t="shared" si="184"/>
        <v>267</v>
      </c>
      <c r="CM162" s="562">
        <f t="shared" si="209"/>
        <v>4.0332326283987918E-2</v>
      </c>
      <c r="CN162" s="200">
        <v>6887</v>
      </c>
      <c r="CO162" s="206">
        <f t="shared" si="185"/>
        <v>0</v>
      </c>
      <c r="CP162" s="304">
        <f t="shared" si="186"/>
        <v>0</v>
      </c>
    </row>
    <row r="163" spans="1:94" ht="18" customHeight="1" x14ac:dyDescent="0.25">
      <c r="A163" s="312" t="s">
        <v>270</v>
      </c>
      <c r="B163" s="302">
        <v>28993</v>
      </c>
      <c r="C163" s="302">
        <v>27805</v>
      </c>
      <c r="D163" s="416">
        <f t="shared" si="221"/>
        <v>-1188</v>
      </c>
      <c r="E163" s="563">
        <f t="shared" si="222"/>
        <v>-4.0975407857068949E-2</v>
      </c>
      <c r="F163" s="204">
        <v>27701</v>
      </c>
      <c r="G163" s="204">
        <f t="shared" si="223"/>
        <v>-104</v>
      </c>
      <c r="H163" s="199">
        <f t="shared" si="224"/>
        <v>-3.7403344722172272E-3</v>
      </c>
      <c r="I163" s="204">
        <v>29991</v>
      </c>
      <c r="J163" s="204">
        <f t="shared" si="225"/>
        <v>2290</v>
      </c>
      <c r="K163" s="199">
        <f t="shared" si="226"/>
        <v>8.2668495722176091E-2</v>
      </c>
      <c r="L163" s="204">
        <v>30611</v>
      </c>
      <c r="M163" s="204">
        <v>620</v>
      </c>
      <c r="N163" s="304">
        <v>2.0672868527224834E-2</v>
      </c>
      <c r="O163" s="204">
        <v>29013</v>
      </c>
      <c r="P163" s="204">
        <f t="shared" si="210"/>
        <v>-1598</v>
      </c>
      <c r="Q163" s="304">
        <f t="shared" si="227"/>
        <v>-5.220345627388847E-2</v>
      </c>
      <c r="R163" s="204">
        <v>28751</v>
      </c>
      <c r="S163" s="204">
        <f t="shared" si="193"/>
        <v>-262</v>
      </c>
      <c r="T163" s="304">
        <f t="shared" si="228"/>
        <v>-9.0304346327508365E-3</v>
      </c>
      <c r="U163" s="204">
        <v>24851</v>
      </c>
      <c r="V163" s="204">
        <f t="shared" si="211"/>
        <v>-3900</v>
      </c>
      <c r="W163" s="304">
        <f t="shared" si="212"/>
        <v>-0.13564745574066989</v>
      </c>
      <c r="X163" s="201">
        <v>28220</v>
      </c>
      <c r="Y163" s="204">
        <f t="shared" si="229"/>
        <v>3369</v>
      </c>
      <c r="Z163" s="484">
        <f t="shared" si="230"/>
        <v>0.13556798519174279</v>
      </c>
      <c r="AA163" s="203">
        <v>15030</v>
      </c>
      <c r="AB163" s="374">
        <f t="shared" si="231"/>
        <v>-13190</v>
      </c>
      <c r="AC163" s="205">
        <f t="shared" si="232"/>
        <v>-0.46739900779588944</v>
      </c>
      <c r="AD163" s="200">
        <v>25163</v>
      </c>
      <c r="AE163" s="200"/>
      <c r="AF163" s="204">
        <v>38310</v>
      </c>
      <c r="AG163" s="204">
        <f t="shared" si="194"/>
        <v>23280</v>
      </c>
      <c r="AH163" s="304">
        <f t="shared" si="195"/>
        <v>1.5489021956087825</v>
      </c>
      <c r="AI163" s="200">
        <f>AD163+3200</f>
        <v>28363</v>
      </c>
      <c r="AJ163" s="200">
        <f>AF163+3200</f>
        <v>41510</v>
      </c>
      <c r="AK163" s="68">
        <v>30163</v>
      </c>
      <c r="AL163" s="354"/>
      <c r="AM163" s="204">
        <f t="shared" si="196"/>
        <v>30163</v>
      </c>
      <c r="AN163" s="200">
        <v>28169</v>
      </c>
      <c r="AO163" s="200">
        <v>28169</v>
      </c>
      <c r="AQ163" s="200">
        <v>18</v>
      </c>
      <c r="AR163" s="200">
        <f t="shared" si="213"/>
        <v>18</v>
      </c>
      <c r="AS163" s="200">
        <f t="shared" si="214"/>
        <v>29318.698120000001</v>
      </c>
      <c r="AT163" s="200">
        <f t="shared" si="215"/>
        <v>-8991.3018799999991</v>
      </c>
      <c r="AU163" s="205">
        <f t="shared" si="216"/>
        <v>-0.234698561211172</v>
      </c>
      <c r="AV163" s="200">
        <f t="shared" si="233"/>
        <v>-8991.3018799999991</v>
      </c>
      <c r="AW163" s="205">
        <f t="shared" si="234"/>
        <v>-0.234698561211172</v>
      </c>
      <c r="AX163" s="204">
        <v>38169</v>
      </c>
      <c r="AY163" s="204">
        <f t="shared" si="197"/>
        <v>-141</v>
      </c>
      <c r="AZ163" s="304">
        <f t="shared" si="198"/>
        <v>-3.6805011746280343E-3</v>
      </c>
      <c r="BA163" s="560">
        <v>29300.698120000001</v>
      </c>
      <c r="BB163" s="560">
        <v>29300.698120000001</v>
      </c>
      <c r="BC163" s="560">
        <f t="shared" si="217"/>
        <v>0</v>
      </c>
      <c r="BD163" s="304">
        <f t="shared" si="218"/>
        <v>0</v>
      </c>
      <c r="BE163" s="204">
        <v>27988</v>
      </c>
      <c r="BF163" s="204">
        <f t="shared" si="199"/>
        <v>-10181</v>
      </c>
      <c r="BG163" s="304">
        <f t="shared" si="200"/>
        <v>-0.26673478477298329</v>
      </c>
      <c r="BH163" s="200"/>
      <c r="BI163" s="200"/>
      <c r="BJ163" s="200"/>
      <c r="BK163" s="200"/>
      <c r="BL163" s="206">
        <f t="shared" si="201"/>
        <v>27988</v>
      </c>
      <c r="BM163" s="206">
        <f t="shared" si="202"/>
        <v>-1330.6981200000009</v>
      </c>
      <c r="BN163" s="206">
        <v>19822</v>
      </c>
      <c r="BO163" s="206">
        <v>19822</v>
      </c>
      <c r="BP163" s="206">
        <f t="shared" si="191"/>
        <v>-8166</v>
      </c>
      <c r="BQ163" s="199">
        <f t="shared" si="203"/>
        <v>-4.5387353645564975E-2</v>
      </c>
      <c r="BR163" s="205">
        <f t="shared" si="192"/>
        <v>-0.29176790052879803</v>
      </c>
      <c r="BW163" s="207">
        <f t="shared" si="204"/>
        <v>19822</v>
      </c>
      <c r="BX163" s="206">
        <v>19822</v>
      </c>
      <c r="BY163" s="206"/>
      <c r="BZ163" s="206">
        <v>22954</v>
      </c>
      <c r="CA163" s="206">
        <f t="shared" si="205"/>
        <v>-5034</v>
      </c>
      <c r="CB163" s="199">
        <f t="shared" si="219"/>
        <v>-0.17986279834214663</v>
      </c>
      <c r="CC163" s="206">
        <v>20021</v>
      </c>
      <c r="CD163" s="206">
        <v>20021</v>
      </c>
      <c r="CE163" s="206"/>
      <c r="CF163" s="206">
        <v>21330</v>
      </c>
      <c r="CG163" s="206">
        <f t="shared" si="206"/>
        <v>-1624</v>
      </c>
      <c r="CH163" s="304">
        <f t="shared" si="207"/>
        <v>-7.0750196044262442E-2</v>
      </c>
      <c r="CI163" s="206">
        <v>20221</v>
      </c>
      <c r="CJ163" s="206"/>
      <c r="CK163" s="206">
        <f t="shared" si="220"/>
        <v>20221</v>
      </c>
      <c r="CL163" s="206">
        <f t="shared" si="184"/>
        <v>-1109</v>
      </c>
      <c r="CM163" s="562">
        <f t="shared" si="209"/>
        <v>-5.1992498827941866E-2</v>
      </c>
      <c r="CN163" s="200">
        <v>20221</v>
      </c>
      <c r="CO163" s="206">
        <f t="shared" si="185"/>
        <v>0</v>
      </c>
      <c r="CP163" s="304">
        <f t="shared" si="186"/>
        <v>0</v>
      </c>
    </row>
    <row r="164" spans="1:94" s="148" customFormat="1" ht="18" customHeight="1" x14ac:dyDescent="0.25">
      <c r="A164" s="312" t="s">
        <v>271</v>
      </c>
      <c r="B164" s="416">
        <v>734</v>
      </c>
      <c r="C164" s="416">
        <v>1153</v>
      </c>
      <c r="D164" s="416">
        <f t="shared" si="221"/>
        <v>419</v>
      </c>
      <c r="E164" s="563">
        <f t="shared" si="222"/>
        <v>0.57084468664850141</v>
      </c>
      <c r="F164" s="203">
        <v>1535</v>
      </c>
      <c r="G164" s="203">
        <f t="shared" si="223"/>
        <v>382</v>
      </c>
      <c r="H164" s="362">
        <f t="shared" si="224"/>
        <v>0.3313096270598439</v>
      </c>
      <c r="I164" s="203">
        <v>1592</v>
      </c>
      <c r="J164" s="203">
        <f t="shared" si="225"/>
        <v>57</v>
      </c>
      <c r="K164" s="362">
        <f t="shared" si="226"/>
        <v>3.713355048859935E-2</v>
      </c>
      <c r="L164" s="203">
        <v>1706</v>
      </c>
      <c r="M164" s="203">
        <v>114</v>
      </c>
      <c r="N164" s="397">
        <v>7.160804020100503E-2</v>
      </c>
      <c r="O164" s="203">
        <v>2215</v>
      </c>
      <c r="P164" s="203">
        <f t="shared" si="210"/>
        <v>509</v>
      </c>
      <c r="Q164" s="397">
        <f t="shared" si="227"/>
        <v>0.29835873388042206</v>
      </c>
      <c r="R164" s="203">
        <v>2322</v>
      </c>
      <c r="S164" s="203">
        <f t="shared" si="193"/>
        <v>107</v>
      </c>
      <c r="T164" s="397">
        <f t="shared" si="228"/>
        <v>4.8306997742663657E-2</v>
      </c>
      <c r="U164" s="203">
        <v>2359</v>
      </c>
      <c r="V164" s="203">
        <f t="shared" si="211"/>
        <v>37</v>
      </c>
      <c r="W164" s="397">
        <f t="shared" si="212"/>
        <v>1.5934539190353144E-2</v>
      </c>
      <c r="X164" s="201">
        <v>2605</v>
      </c>
      <c r="Y164" s="203">
        <f t="shared" si="229"/>
        <v>246</v>
      </c>
      <c r="Z164" s="484">
        <f t="shared" si="230"/>
        <v>0.10428147520135651</v>
      </c>
      <c r="AA164" s="203">
        <v>2757</v>
      </c>
      <c r="AB164" s="564">
        <f t="shared" si="231"/>
        <v>152</v>
      </c>
      <c r="AC164" s="485">
        <f t="shared" si="232"/>
        <v>5.8349328214971206E-2</v>
      </c>
      <c r="AD164" s="418">
        <v>2617</v>
      </c>
      <c r="AE164" s="418"/>
      <c r="AF164" s="203">
        <v>2222</v>
      </c>
      <c r="AG164" s="203">
        <f t="shared" si="194"/>
        <v>-535</v>
      </c>
      <c r="AH164" s="397">
        <f t="shared" si="195"/>
        <v>-0.19405150525933987</v>
      </c>
      <c r="AI164" s="418">
        <f>AD164-312</f>
        <v>2305</v>
      </c>
      <c r="AJ164" s="418">
        <f>AF164-312</f>
        <v>1910</v>
      </c>
      <c r="AK164" s="68">
        <v>2673</v>
      </c>
      <c r="AL164" s="354">
        <v>5</v>
      </c>
      <c r="AM164" s="203">
        <f t="shared" si="196"/>
        <v>2678</v>
      </c>
      <c r="AN164" s="418">
        <v>2200</v>
      </c>
      <c r="AO164" s="418">
        <v>2200</v>
      </c>
      <c r="AP164" s="148">
        <v>103</v>
      </c>
      <c r="AQ164" s="418">
        <v>46</v>
      </c>
      <c r="AR164" s="418">
        <f t="shared" si="213"/>
        <v>149</v>
      </c>
      <c r="AS164" s="200">
        <f t="shared" si="214"/>
        <v>2299.1309999999999</v>
      </c>
      <c r="AT164" s="418">
        <f t="shared" si="215"/>
        <v>77.130999999999858</v>
      </c>
      <c r="AU164" s="485">
        <f t="shared" si="216"/>
        <v>3.4712421242124147E-2</v>
      </c>
      <c r="AV164" s="418">
        <f t="shared" si="233"/>
        <v>77.130999999999858</v>
      </c>
      <c r="AW164" s="485">
        <f t="shared" si="234"/>
        <v>3.4712421242124147E-2</v>
      </c>
      <c r="AX164" s="203">
        <v>2166</v>
      </c>
      <c r="AY164" s="203">
        <f t="shared" si="197"/>
        <v>-56</v>
      </c>
      <c r="AZ164" s="397">
        <f t="shared" si="198"/>
        <v>-2.5202520252025202E-2</v>
      </c>
      <c r="BA164" s="560">
        <v>2166.41345</v>
      </c>
      <c r="BB164" s="560">
        <v>2150.1309999999999</v>
      </c>
      <c r="BC164" s="560">
        <f t="shared" si="217"/>
        <v>16.282450000000154</v>
      </c>
      <c r="BD164" s="304">
        <f t="shared" si="218"/>
        <v>7.515855295303929E-3</v>
      </c>
      <c r="BE164" s="203">
        <v>2169</v>
      </c>
      <c r="BF164" s="203">
        <f t="shared" si="199"/>
        <v>3</v>
      </c>
      <c r="BG164" s="397">
        <f t="shared" si="200"/>
        <v>1.3850415512465374E-3</v>
      </c>
      <c r="BH164" s="418">
        <v>80</v>
      </c>
      <c r="BI164" s="418"/>
      <c r="BJ164" s="418"/>
      <c r="BK164" s="418">
        <v>18</v>
      </c>
      <c r="BL164" s="309">
        <f t="shared" si="201"/>
        <v>2267</v>
      </c>
      <c r="BM164" s="309">
        <f t="shared" si="202"/>
        <v>-32.130999999999858</v>
      </c>
      <c r="BN164" s="309">
        <v>2193</v>
      </c>
      <c r="BO164" s="309">
        <v>2193</v>
      </c>
      <c r="BP164" s="206">
        <f t="shared" si="191"/>
        <v>24</v>
      </c>
      <c r="BQ164" s="362">
        <f t="shared" si="203"/>
        <v>-1.3975280225441639E-2</v>
      </c>
      <c r="BR164" s="205">
        <f t="shared" si="192"/>
        <v>1.1065006915629323E-2</v>
      </c>
      <c r="BS164" s="309">
        <v>99</v>
      </c>
      <c r="BV164" s="148">
        <v>1</v>
      </c>
      <c r="BW164" s="207">
        <f t="shared" si="204"/>
        <v>2293</v>
      </c>
      <c r="BX164" s="206">
        <v>2193</v>
      </c>
      <c r="BY164" s="206"/>
      <c r="BZ164" s="206">
        <v>2327</v>
      </c>
      <c r="CA164" s="206">
        <f t="shared" si="205"/>
        <v>158</v>
      </c>
      <c r="CB164" s="199">
        <f t="shared" si="219"/>
        <v>7.2844628861226376E-2</v>
      </c>
      <c r="CC164" s="309">
        <v>2389</v>
      </c>
      <c r="CD164" s="309">
        <v>2595</v>
      </c>
      <c r="CE164" s="309"/>
      <c r="CF164" s="206">
        <v>2710</v>
      </c>
      <c r="CG164" s="206">
        <f t="shared" si="206"/>
        <v>383</v>
      </c>
      <c r="CH164" s="304">
        <f t="shared" si="207"/>
        <v>0.16458960034379028</v>
      </c>
      <c r="CI164" s="309">
        <v>3138</v>
      </c>
      <c r="CJ164" s="309"/>
      <c r="CK164" s="206">
        <f t="shared" si="220"/>
        <v>3138</v>
      </c>
      <c r="CL164" s="206">
        <f t="shared" si="184"/>
        <v>428</v>
      </c>
      <c r="CM164" s="562">
        <f t="shared" si="209"/>
        <v>0.15793357933579336</v>
      </c>
      <c r="CN164" s="418">
        <v>3451</v>
      </c>
      <c r="CO164" s="206">
        <f t="shared" si="185"/>
        <v>313</v>
      </c>
      <c r="CP164" s="304">
        <f t="shared" si="186"/>
        <v>9.9745060548119824E-2</v>
      </c>
    </row>
    <row r="165" spans="1:94" s="148" customFormat="1" ht="18" customHeight="1" x14ac:dyDescent="0.25">
      <c r="A165" s="312" t="s">
        <v>272</v>
      </c>
      <c r="B165" s="416">
        <v>889</v>
      </c>
      <c r="C165" s="416">
        <v>2307</v>
      </c>
      <c r="D165" s="416">
        <f t="shared" si="221"/>
        <v>1418</v>
      </c>
      <c r="E165" s="563">
        <f t="shared" si="222"/>
        <v>1.5950506186726658</v>
      </c>
      <c r="F165" s="203">
        <v>2808</v>
      </c>
      <c r="G165" s="203">
        <f t="shared" si="223"/>
        <v>501</v>
      </c>
      <c r="H165" s="362">
        <f t="shared" si="224"/>
        <v>0.21716514954486346</v>
      </c>
      <c r="I165" s="203">
        <v>2962</v>
      </c>
      <c r="J165" s="203">
        <f t="shared" si="225"/>
        <v>154</v>
      </c>
      <c r="K165" s="362">
        <f t="shared" si="226"/>
        <v>5.4843304843304845E-2</v>
      </c>
      <c r="L165" s="203">
        <v>3040</v>
      </c>
      <c r="M165" s="203">
        <v>78</v>
      </c>
      <c r="N165" s="397">
        <v>2.6333558406482108E-2</v>
      </c>
      <c r="O165" s="203">
        <v>3874</v>
      </c>
      <c r="P165" s="203">
        <f t="shared" si="210"/>
        <v>834</v>
      </c>
      <c r="Q165" s="397">
        <f t="shared" si="227"/>
        <v>0.27434210526315789</v>
      </c>
      <c r="R165" s="203">
        <v>3652</v>
      </c>
      <c r="S165" s="203">
        <f t="shared" si="193"/>
        <v>-222</v>
      </c>
      <c r="T165" s="397">
        <f t="shared" si="228"/>
        <v>-5.7305110996386167E-2</v>
      </c>
      <c r="U165" s="203">
        <v>4130</v>
      </c>
      <c r="V165" s="203">
        <f t="shared" si="211"/>
        <v>478</v>
      </c>
      <c r="W165" s="397">
        <f t="shared" si="212"/>
        <v>0.13088718510405256</v>
      </c>
      <c r="X165" s="201">
        <v>4120</v>
      </c>
      <c r="Y165" s="203">
        <f t="shared" si="229"/>
        <v>-10</v>
      </c>
      <c r="Z165" s="484">
        <f t="shared" si="230"/>
        <v>-2.4213075060532689E-3</v>
      </c>
      <c r="AA165" s="203">
        <v>4587</v>
      </c>
      <c r="AB165" s="564">
        <f t="shared" si="231"/>
        <v>467</v>
      </c>
      <c r="AC165" s="485">
        <f t="shared" si="232"/>
        <v>0.1133495145631068</v>
      </c>
      <c r="AD165" s="418">
        <v>3821</v>
      </c>
      <c r="AE165" s="418"/>
      <c r="AF165" s="203">
        <v>3712</v>
      </c>
      <c r="AG165" s="203">
        <f t="shared" si="194"/>
        <v>-875</v>
      </c>
      <c r="AH165" s="397">
        <f t="shared" si="195"/>
        <v>-0.19075648572051448</v>
      </c>
      <c r="AI165" s="418">
        <f>AD165-45</f>
        <v>3776</v>
      </c>
      <c r="AJ165" s="418">
        <f>AF165-45</f>
        <v>3667</v>
      </c>
      <c r="AK165" s="68">
        <v>3867</v>
      </c>
      <c r="AL165" s="354"/>
      <c r="AM165" s="203">
        <f t="shared" si="196"/>
        <v>3867</v>
      </c>
      <c r="AN165" s="418">
        <v>2100</v>
      </c>
      <c r="AO165" s="418">
        <v>2100</v>
      </c>
      <c r="AP165" s="148">
        <v>78</v>
      </c>
      <c r="AQ165" s="418">
        <v>5</v>
      </c>
      <c r="AR165" s="418">
        <f t="shared" si="213"/>
        <v>83</v>
      </c>
      <c r="AS165" s="200">
        <f t="shared" si="214"/>
        <v>2614.3733400000001</v>
      </c>
      <c r="AT165" s="418">
        <f t="shared" si="215"/>
        <v>-1097.6266599999999</v>
      </c>
      <c r="AU165" s="485">
        <f t="shared" si="216"/>
        <v>-0.29569683728448271</v>
      </c>
      <c r="AV165" s="418">
        <f t="shared" si="233"/>
        <v>-1097.6266599999999</v>
      </c>
      <c r="AW165" s="485">
        <f t="shared" si="234"/>
        <v>-0.29569683728448271</v>
      </c>
      <c r="AX165" s="203">
        <v>2664</v>
      </c>
      <c r="AY165" s="203">
        <f t="shared" si="197"/>
        <v>-1048</v>
      </c>
      <c r="AZ165" s="397">
        <f t="shared" si="198"/>
        <v>-0.28232758620689657</v>
      </c>
      <c r="BA165" s="560">
        <v>2603.8374399999998</v>
      </c>
      <c r="BB165" s="560">
        <v>2531.3733400000001</v>
      </c>
      <c r="BC165" s="560">
        <f t="shared" si="217"/>
        <v>72.464099999999689</v>
      </c>
      <c r="BD165" s="304">
        <f t="shared" si="218"/>
        <v>2.7829732719412657E-2</v>
      </c>
      <c r="BE165" s="203">
        <v>2643</v>
      </c>
      <c r="BF165" s="203">
        <f t="shared" si="199"/>
        <v>-21</v>
      </c>
      <c r="BG165" s="397">
        <f t="shared" si="200"/>
        <v>-7.8828828828828822E-3</v>
      </c>
      <c r="BH165" s="418">
        <v>73</v>
      </c>
      <c r="BI165" s="418"/>
      <c r="BJ165" s="418"/>
      <c r="BK165" s="418">
        <v>7</v>
      </c>
      <c r="BL165" s="309">
        <f t="shared" si="201"/>
        <v>2723</v>
      </c>
      <c r="BM165" s="309">
        <f t="shared" si="202"/>
        <v>108.6266599999999</v>
      </c>
      <c r="BN165" s="309">
        <v>2685</v>
      </c>
      <c r="BO165" s="309">
        <v>2685</v>
      </c>
      <c r="BP165" s="206">
        <f t="shared" si="191"/>
        <v>42</v>
      </c>
      <c r="BQ165" s="362">
        <f t="shared" si="203"/>
        <v>4.1549788753583256E-2</v>
      </c>
      <c r="BR165" s="205">
        <f t="shared" si="192"/>
        <v>1.5891032917139614E-2</v>
      </c>
      <c r="BS165" s="309">
        <v>74</v>
      </c>
      <c r="BV165" s="148">
        <v>0</v>
      </c>
      <c r="BW165" s="207">
        <f t="shared" si="204"/>
        <v>2759</v>
      </c>
      <c r="BX165" s="206">
        <v>2685</v>
      </c>
      <c r="BY165" s="206"/>
      <c r="BZ165" s="206">
        <v>2694</v>
      </c>
      <c r="CA165" s="206">
        <f t="shared" si="205"/>
        <v>51</v>
      </c>
      <c r="CB165" s="199">
        <f t="shared" si="219"/>
        <v>1.9296254256526674E-2</v>
      </c>
      <c r="CC165" s="309">
        <v>2695</v>
      </c>
      <c r="CD165" s="309">
        <v>2695</v>
      </c>
      <c r="CE165" s="309"/>
      <c r="CF165" s="206">
        <v>2697</v>
      </c>
      <c r="CG165" s="206">
        <f t="shared" si="206"/>
        <v>3</v>
      </c>
      <c r="CH165" s="304">
        <f t="shared" si="207"/>
        <v>1.1135857461024498E-3</v>
      </c>
      <c r="CI165" s="309">
        <v>2769</v>
      </c>
      <c r="CJ165" s="309"/>
      <c r="CK165" s="206">
        <f t="shared" si="220"/>
        <v>2769</v>
      </c>
      <c r="CL165" s="206">
        <f t="shared" si="184"/>
        <v>72</v>
      </c>
      <c r="CM165" s="562">
        <f t="shared" si="209"/>
        <v>2.6696329254727477E-2</v>
      </c>
      <c r="CN165" s="418">
        <v>2782</v>
      </c>
      <c r="CO165" s="206">
        <f t="shared" si="185"/>
        <v>13</v>
      </c>
      <c r="CP165" s="304">
        <f t="shared" si="186"/>
        <v>4.6948356807511738E-3</v>
      </c>
    </row>
    <row r="166" spans="1:94" ht="18" customHeight="1" x14ac:dyDescent="0.25">
      <c r="A166" s="312" t="s">
        <v>273</v>
      </c>
      <c r="B166" s="416">
        <v>304</v>
      </c>
      <c r="C166" s="416">
        <v>389</v>
      </c>
      <c r="D166" s="416">
        <f t="shared" si="221"/>
        <v>85</v>
      </c>
      <c r="E166" s="563">
        <f t="shared" si="222"/>
        <v>0.27960526315789475</v>
      </c>
      <c r="F166" s="204">
        <f>197+2510</f>
        <v>2707</v>
      </c>
      <c r="G166" s="204">
        <f t="shared" si="223"/>
        <v>2318</v>
      </c>
      <c r="H166" s="199">
        <f t="shared" si="224"/>
        <v>5.958868894601542</v>
      </c>
      <c r="I166" s="204">
        <f>416+2452</f>
        <v>2868</v>
      </c>
      <c r="J166" s="204">
        <f t="shared" si="225"/>
        <v>161</v>
      </c>
      <c r="K166" s="199">
        <f t="shared" si="226"/>
        <v>5.9475434059844845E-2</v>
      </c>
      <c r="L166" s="204">
        <v>1977</v>
      </c>
      <c r="M166" s="204">
        <v>-891</v>
      </c>
      <c r="N166" s="304">
        <v>-0.31066945606694563</v>
      </c>
      <c r="O166" s="204">
        <v>4306</v>
      </c>
      <c r="P166" s="204">
        <f t="shared" si="210"/>
        <v>2329</v>
      </c>
      <c r="Q166" s="304">
        <f t="shared" si="227"/>
        <v>1.1780475467880627</v>
      </c>
      <c r="R166" s="204">
        <v>3004</v>
      </c>
      <c r="S166" s="204">
        <f t="shared" si="193"/>
        <v>-1302</v>
      </c>
      <c r="T166" s="304">
        <f t="shared" si="228"/>
        <v>-0.30236878773803993</v>
      </c>
      <c r="U166" s="204">
        <v>-2</v>
      </c>
      <c r="V166" s="204">
        <f t="shared" si="211"/>
        <v>-3006</v>
      </c>
      <c r="W166" s="304">
        <f t="shared" si="212"/>
        <v>-1.0006657789613849</v>
      </c>
      <c r="X166" s="201">
        <v>-34</v>
      </c>
      <c r="Y166" s="204">
        <f t="shared" si="229"/>
        <v>-32</v>
      </c>
      <c r="Z166" s="484">
        <f t="shared" si="230"/>
        <v>16</v>
      </c>
      <c r="AB166" s="374">
        <f t="shared" si="231"/>
        <v>34</v>
      </c>
      <c r="AC166" s="205">
        <f t="shared" si="232"/>
        <v>-1</v>
      </c>
      <c r="AG166" s="204">
        <f t="shared" si="194"/>
        <v>0</v>
      </c>
      <c r="AH166" s="304" t="e">
        <f t="shared" si="195"/>
        <v>#DIV/0!</v>
      </c>
      <c r="AL166" s="354"/>
      <c r="AM166" s="204">
        <f t="shared" si="196"/>
        <v>0</v>
      </c>
      <c r="AN166" s="200">
        <v>0</v>
      </c>
      <c r="AO166" s="200">
        <v>0</v>
      </c>
      <c r="AQ166" s="200"/>
      <c r="AR166" s="200">
        <f t="shared" si="213"/>
        <v>0</v>
      </c>
      <c r="AS166" s="200">
        <f t="shared" si="214"/>
        <v>0</v>
      </c>
      <c r="AT166" s="200">
        <f t="shared" si="215"/>
        <v>0</v>
      </c>
      <c r="AU166" s="205" t="e">
        <f t="shared" si="216"/>
        <v>#DIV/0!</v>
      </c>
      <c r="AV166" s="200"/>
      <c r="AW166" s="205"/>
      <c r="AY166" s="204">
        <f t="shared" si="197"/>
        <v>0</v>
      </c>
      <c r="AZ166" s="304" t="e">
        <f t="shared" si="198"/>
        <v>#DIV/0!</v>
      </c>
      <c r="BC166" s="560">
        <f t="shared" si="217"/>
        <v>0</v>
      </c>
      <c r="BF166" s="204">
        <f t="shared" si="199"/>
        <v>0</v>
      </c>
      <c r="BG166" s="304" t="e">
        <f t="shared" si="200"/>
        <v>#DIV/0!</v>
      </c>
      <c r="BH166" s="200"/>
      <c r="BI166" s="200"/>
      <c r="BJ166" s="200"/>
      <c r="BK166" s="200"/>
      <c r="BL166" s="206">
        <f t="shared" si="201"/>
        <v>0</v>
      </c>
      <c r="BM166" s="206">
        <f t="shared" si="202"/>
        <v>0</v>
      </c>
      <c r="BN166" s="206"/>
      <c r="BO166" s="206"/>
      <c r="BP166" s="206">
        <f t="shared" si="191"/>
        <v>0</v>
      </c>
      <c r="BQ166" s="199" t="e">
        <f t="shared" si="203"/>
        <v>#DIV/0!</v>
      </c>
      <c r="BR166" s="205" t="e">
        <f t="shared" si="192"/>
        <v>#DIV/0!</v>
      </c>
      <c r="BW166" s="207">
        <f>BN167+BS166+BT166+BU166+BV166</f>
        <v>3000</v>
      </c>
      <c r="BX166" s="206"/>
      <c r="BY166" s="206"/>
      <c r="BZ166" s="206">
        <f t="shared" ref="BZ166:BZ175" si="235">BX166+BY166</f>
        <v>0</v>
      </c>
      <c r="CA166" s="206">
        <f t="shared" si="205"/>
        <v>0</v>
      </c>
      <c r="CB166" s="199" t="e">
        <f t="shared" si="219"/>
        <v>#DIV/0!</v>
      </c>
      <c r="CC166" s="206"/>
      <c r="CD166" s="206"/>
      <c r="CE166" s="206"/>
      <c r="CF166" s="206">
        <f t="shared" ref="CF166:CF175" si="236">CD166+CE166</f>
        <v>0</v>
      </c>
      <c r="CG166" s="206">
        <f t="shared" si="206"/>
        <v>0</v>
      </c>
      <c r="CH166" s="304" t="e">
        <f t="shared" si="207"/>
        <v>#DIV/0!</v>
      </c>
      <c r="CI166" s="206"/>
      <c r="CJ166" s="206"/>
      <c r="CK166" s="206">
        <f t="shared" si="220"/>
        <v>0</v>
      </c>
      <c r="CL166" s="206">
        <f t="shared" si="184"/>
        <v>0</v>
      </c>
      <c r="CM166" s="562" t="e">
        <f t="shared" si="209"/>
        <v>#DIV/0!</v>
      </c>
      <c r="CO166" s="206">
        <f t="shared" si="185"/>
        <v>0</v>
      </c>
      <c r="CP166" s="304" t="e">
        <f t="shared" si="186"/>
        <v>#DIV/0!</v>
      </c>
    </row>
    <row r="167" spans="1:94" ht="18" customHeight="1" x14ac:dyDescent="0.25">
      <c r="A167" s="312" t="s">
        <v>274</v>
      </c>
      <c r="B167" s="302"/>
      <c r="C167" s="302">
        <v>5000</v>
      </c>
      <c r="D167" s="416">
        <f t="shared" si="221"/>
        <v>5000</v>
      </c>
      <c r="E167" s="310" t="s">
        <v>132</v>
      </c>
      <c r="F167" s="204">
        <v>5831</v>
      </c>
      <c r="G167" s="204">
        <f t="shared" si="223"/>
        <v>831</v>
      </c>
      <c r="H167" s="199">
        <f t="shared" si="224"/>
        <v>0.16619999999999999</v>
      </c>
      <c r="I167" s="204">
        <v>2868</v>
      </c>
      <c r="J167" s="204">
        <f t="shared" si="225"/>
        <v>-2963</v>
      </c>
      <c r="K167" s="199">
        <f t="shared" si="226"/>
        <v>-0.50814611558909273</v>
      </c>
      <c r="L167" s="204">
        <v>4868</v>
      </c>
      <c r="M167" s="204">
        <v>2000</v>
      </c>
      <c r="N167" s="304">
        <v>0.69735006973500702</v>
      </c>
      <c r="O167" s="204">
        <v>5068</v>
      </c>
      <c r="P167" s="204">
        <f t="shared" si="210"/>
        <v>200</v>
      </c>
      <c r="Q167" s="304">
        <f t="shared" si="227"/>
        <v>4.1084634346754315E-2</v>
      </c>
      <c r="R167" s="204">
        <v>9249</v>
      </c>
      <c r="S167" s="204">
        <f t="shared" si="193"/>
        <v>4181</v>
      </c>
      <c r="T167" s="304">
        <f t="shared" si="228"/>
        <v>0.82498026835043414</v>
      </c>
      <c r="U167" s="204">
        <v>13092</v>
      </c>
      <c r="V167" s="204">
        <f t="shared" si="211"/>
        <v>3843</v>
      </c>
      <c r="W167" s="304">
        <f t="shared" si="212"/>
        <v>0.41550437885176777</v>
      </c>
      <c r="X167" s="201">
        <v>20811</v>
      </c>
      <c r="Y167" s="204">
        <f t="shared" si="229"/>
        <v>7719</v>
      </c>
      <c r="Z167" s="484">
        <f t="shared" si="230"/>
        <v>0.58959670027497713</v>
      </c>
      <c r="AA167" s="203">
        <v>18460</v>
      </c>
      <c r="AB167" s="374">
        <f t="shared" si="231"/>
        <v>-2351</v>
      </c>
      <c r="AC167" s="205">
        <f t="shared" si="232"/>
        <v>-0.11296910287828552</v>
      </c>
      <c r="AD167" s="200">
        <v>10602</v>
      </c>
      <c r="AE167" s="200"/>
      <c r="AF167" s="204">
        <v>10602</v>
      </c>
      <c r="AG167" s="204">
        <f t="shared" si="194"/>
        <v>-7858</v>
      </c>
      <c r="AH167" s="304">
        <f t="shared" si="195"/>
        <v>-0.42567713976164678</v>
      </c>
      <c r="AI167" s="66">
        <v>10602</v>
      </c>
      <c r="AJ167" s="66">
        <v>10602</v>
      </c>
      <c r="AL167" s="354">
        <v>10602</v>
      </c>
      <c r="AM167" s="204">
        <f t="shared" si="196"/>
        <v>10602</v>
      </c>
      <c r="AN167" s="200">
        <v>7200</v>
      </c>
      <c r="AO167" s="200">
        <v>7200</v>
      </c>
      <c r="AQ167" s="200"/>
      <c r="AR167" s="200">
        <f t="shared" si="213"/>
        <v>0</v>
      </c>
      <c r="AS167" s="200">
        <f t="shared" si="214"/>
        <v>5120</v>
      </c>
      <c r="AT167" s="200">
        <f t="shared" si="215"/>
        <v>-5482</v>
      </c>
      <c r="AU167" s="205">
        <f t="shared" si="216"/>
        <v>-0.51707225051877004</v>
      </c>
      <c r="AV167" s="200">
        <f t="shared" ref="AV167:AV172" si="237">AS167-AF167</f>
        <v>-5482</v>
      </c>
      <c r="AW167" s="205">
        <f t="shared" ref="AW167:AW172" si="238">AV167/AF167</f>
        <v>-0.51707225051877004</v>
      </c>
      <c r="AX167" s="204">
        <v>4625</v>
      </c>
      <c r="AY167" s="204">
        <f t="shared" si="197"/>
        <v>-5977</v>
      </c>
      <c r="AZ167" s="304">
        <f t="shared" si="198"/>
        <v>-0.56376155442369369</v>
      </c>
      <c r="BA167" s="591">
        <v>5120</v>
      </c>
      <c r="BB167" s="591">
        <v>5120</v>
      </c>
      <c r="BC167" s="560">
        <f t="shared" si="217"/>
        <v>0</v>
      </c>
      <c r="BD167" s="304">
        <f t="shared" si="218"/>
        <v>0</v>
      </c>
      <c r="BE167" s="204">
        <v>3989</v>
      </c>
      <c r="BF167" s="204">
        <f t="shared" si="199"/>
        <v>-636</v>
      </c>
      <c r="BG167" s="304">
        <f t="shared" si="200"/>
        <v>-0.13751351351351351</v>
      </c>
      <c r="BH167" s="200"/>
      <c r="BI167" s="200"/>
      <c r="BJ167" s="200"/>
      <c r="BK167" s="200"/>
      <c r="BL167" s="206">
        <f t="shared" si="201"/>
        <v>3989</v>
      </c>
      <c r="BM167" s="206">
        <f t="shared" si="202"/>
        <v>-1131</v>
      </c>
      <c r="BN167" s="206">
        <v>3000</v>
      </c>
      <c r="BO167" s="206">
        <v>3000</v>
      </c>
      <c r="BP167" s="206">
        <f t="shared" si="191"/>
        <v>-989</v>
      </c>
      <c r="BQ167" s="199">
        <f t="shared" si="203"/>
        <v>-0.22089843749999999</v>
      </c>
      <c r="BR167" s="205">
        <f t="shared" si="192"/>
        <v>-0.24793181248433191</v>
      </c>
      <c r="BW167" s="207">
        <v>3000</v>
      </c>
      <c r="BX167" s="206">
        <v>3000</v>
      </c>
      <c r="BY167" s="206"/>
      <c r="BZ167" s="206">
        <v>6500</v>
      </c>
      <c r="CA167" s="206">
        <f t="shared" si="205"/>
        <v>2511</v>
      </c>
      <c r="CB167" s="199">
        <f t="shared" si="219"/>
        <v>0.62948107295061417</v>
      </c>
      <c r="CC167" s="206">
        <v>3000</v>
      </c>
      <c r="CD167" s="206">
        <v>3000</v>
      </c>
      <c r="CE167" s="206"/>
      <c r="CF167" s="206">
        <v>11400</v>
      </c>
      <c r="CG167" s="206">
        <f t="shared" si="206"/>
        <v>4900</v>
      </c>
      <c r="CH167" s="304">
        <f t="shared" si="207"/>
        <v>0.75384615384615383</v>
      </c>
      <c r="CI167" s="206">
        <v>3000</v>
      </c>
      <c r="CJ167" s="206"/>
      <c r="CK167" s="206">
        <f t="shared" si="220"/>
        <v>3000</v>
      </c>
      <c r="CL167" s="206">
        <f t="shared" si="184"/>
        <v>-8400</v>
      </c>
      <c r="CM167" s="562">
        <f t="shared" si="209"/>
        <v>-0.73684210526315785</v>
      </c>
      <c r="CN167" s="200">
        <v>3000</v>
      </c>
      <c r="CO167" s="206">
        <f t="shared" si="185"/>
        <v>0</v>
      </c>
      <c r="CP167" s="304">
        <f t="shared" si="186"/>
        <v>0</v>
      </c>
    </row>
    <row r="168" spans="1:94" s="148" customFormat="1" ht="18" customHeight="1" x14ac:dyDescent="0.25">
      <c r="A168" s="312" t="s">
        <v>275</v>
      </c>
      <c r="B168" s="416">
        <v>0</v>
      </c>
      <c r="C168" s="416">
        <v>0</v>
      </c>
      <c r="D168" s="416">
        <f t="shared" si="221"/>
        <v>0</v>
      </c>
      <c r="E168" s="567" t="s">
        <v>132</v>
      </c>
      <c r="F168" s="203">
        <v>198</v>
      </c>
      <c r="G168" s="203">
        <f t="shared" si="223"/>
        <v>198</v>
      </c>
      <c r="H168" s="416" t="s">
        <v>132</v>
      </c>
      <c r="I168" s="203">
        <v>203</v>
      </c>
      <c r="J168" s="203">
        <f t="shared" si="225"/>
        <v>5</v>
      </c>
      <c r="K168" s="362">
        <f t="shared" si="226"/>
        <v>2.5252525252525252E-2</v>
      </c>
      <c r="L168" s="203">
        <v>319</v>
      </c>
      <c r="M168" s="203">
        <v>116</v>
      </c>
      <c r="N168" s="397">
        <v>0.5714285714285714</v>
      </c>
      <c r="O168" s="203">
        <v>351</v>
      </c>
      <c r="P168" s="203">
        <f t="shared" si="210"/>
        <v>32</v>
      </c>
      <c r="Q168" s="397">
        <f t="shared" si="227"/>
        <v>0.10031347962382445</v>
      </c>
      <c r="R168" s="203">
        <v>606</v>
      </c>
      <c r="S168" s="203">
        <f t="shared" si="193"/>
        <v>255</v>
      </c>
      <c r="T168" s="397">
        <f t="shared" si="228"/>
        <v>0.72649572649572647</v>
      </c>
      <c r="U168" s="203">
        <v>814</v>
      </c>
      <c r="V168" s="203">
        <f t="shared" si="211"/>
        <v>208</v>
      </c>
      <c r="W168" s="397">
        <f t="shared" si="212"/>
        <v>0.34323432343234322</v>
      </c>
      <c r="X168" s="201">
        <v>930</v>
      </c>
      <c r="Y168" s="203">
        <f t="shared" si="229"/>
        <v>116</v>
      </c>
      <c r="Z168" s="484">
        <f t="shared" si="230"/>
        <v>0.14250614250614252</v>
      </c>
      <c r="AA168" s="203">
        <v>965</v>
      </c>
      <c r="AB168" s="564">
        <f t="shared" si="231"/>
        <v>35</v>
      </c>
      <c r="AC168" s="485">
        <f t="shared" si="232"/>
        <v>3.7634408602150539E-2</v>
      </c>
      <c r="AD168" s="418">
        <v>965</v>
      </c>
      <c r="AE168" s="418"/>
      <c r="AF168" s="203">
        <v>869</v>
      </c>
      <c r="AG168" s="203">
        <f t="shared" si="194"/>
        <v>-96</v>
      </c>
      <c r="AH168" s="397">
        <f t="shared" si="195"/>
        <v>-9.9481865284974089E-2</v>
      </c>
      <c r="AI168" s="148">
        <v>965</v>
      </c>
      <c r="AJ168" s="148">
        <v>965</v>
      </c>
      <c r="AK168" s="148">
        <v>993</v>
      </c>
      <c r="AL168" s="354"/>
      <c r="AM168" s="203">
        <f t="shared" si="196"/>
        <v>993</v>
      </c>
      <c r="AN168" s="148">
        <v>815</v>
      </c>
      <c r="AO168" s="148">
        <v>815</v>
      </c>
      <c r="AP168" s="148">
        <v>36</v>
      </c>
      <c r="AQ168" s="418">
        <v>12</v>
      </c>
      <c r="AR168" s="418">
        <f t="shared" si="213"/>
        <v>48</v>
      </c>
      <c r="AS168" s="200">
        <f t="shared" si="214"/>
        <v>829.48931000000005</v>
      </c>
      <c r="AT168" s="418">
        <f t="shared" si="215"/>
        <v>-39.510689999999954</v>
      </c>
      <c r="AU168" s="485">
        <f t="shared" si="216"/>
        <v>-4.5466846950517781E-2</v>
      </c>
      <c r="AV168" s="418">
        <f t="shared" si="237"/>
        <v>-39.510689999999954</v>
      </c>
      <c r="AW168" s="485">
        <f t="shared" si="238"/>
        <v>-4.5466846950517781E-2</v>
      </c>
      <c r="AX168" s="203">
        <v>776</v>
      </c>
      <c r="AY168" s="203">
        <f t="shared" si="197"/>
        <v>-93</v>
      </c>
      <c r="AZ168" s="397">
        <f t="shared" si="198"/>
        <v>-0.10701956271576525</v>
      </c>
      <c r="BA168" s="560">
        <v>784.70020999999997</v>
      </c>
      <c r="BB168" s="560">
        <v>781.48931000000005</v>
      </c>
      <c r="BC168" s="560">
        <f t="shared" si="217"/>
        <v>3.2108999999999241</v>
      </c>
      <c r="BD168" s="304">
        <f t="shared" si="218"/>
        <v>4.0918811529309061E-3</v>
      </c>
      <c r="BE168" s="203">
        <v>762</v>
      </c>
      <c r="BF168" s="203">
        <f t="shared" si="199"/>
        <v>-14</v>
      </c>
      <c r="BG168" s="397">
        <f t="shared" si="200"/>
        <v>-1.804123711340206E-2</v>
      </c>
      <c r="BH168" s="418">
        <v>28</v>
      </c>
      <c r="BI168" s="418"/>
      <c r="BJ168" s="418"/>
      <c r="BK168" s="418">
        <v>8</v>
      </c>
      <c r="BL168" s="309">
        <f t="shared" si="201"/>
        <v>798</v>
      </c>
      <c r="BM168" s="309">
        <f t="shared" si="202"/>
        <v>-31.489310000000046</v>
      </c>
      <c r="BN168" s="309">
        <v>780</v>
      </c>
      <c r="BO168" s="309">
        <v>780</v>
      </c>
      <c r="BP168" s="206">
        <f t="shared" si="191"/>
        <v>18</v>
      </c>
      <c r="BQ168" s="362">
        <f t="shared" si="203"/>
        <v>-3.796228549346832E-2</v>
      </c>
      <c r="BR168" s="205">
        <f t="shared" si="192"/>
        <v>2.3622047244094488E-2</v>
      </c>
      <c r="BS168" s="309">
        <v>35</v>
      </c>
      <c r="BV168" s="148">
        <v>0</v>
      </c>
      <c r="BW168" s="207">
        <f t="shared" ref="BW168:BW175" si="239">BN168+BS168+BT168+BU168+BV168</f>
        <v>815</v>
      </c>
      <c r="BX168" s="206">
        <v>780</v>
      </c>
      <c r="BY168" s="206"/>
      <c r="BZ168" s="206">
        <v>785</v>
      </c>
      <c r="CA168" s="206">
        <f t="shared" si="205"/>
        <v>23</v>
      </c>
      <c r="CB168" s="199">
        <f t="shared" si="219"/>
        <v>3.0183727034120734E-2</v>
      </c>
      <c r="CC168" s="309">
        <v>785</v>
      </c>
      <c r="CD168" s="309">
        <v>785</v>
      </c>
      <c r="CE168" s="309"/>
      <c r="CF168" s="206">
        <v>867</v>
      </c>
      <c r="CG168" s="206">
        <f t="shared" si="206"/>
        <v>82</v>
      </c>
      <c r="CH168" s="304">
        <f t="shared" si="207"/>
        <v>0.10445859872611465</v>
      </c>
      <c r="CI168" s="309">
        <v>943</v>
      </c>
      <c r="CJ168" s="309"/>
      <c r="CK168" s="206">
        <f t="shared" si="220"/>
        <v>943</v>
      </c>
      <c r="CL168" s="206">
        <f t="shared" si="184"/>
        <v>76</v>
      </c>
      <c r="CM168" s="562">
        <f t="shared" si="209"/>
        <v>8.7658592848904274E-2</v>
      </c>
      <c r="CN168" s="148">
        <v>835</v>
      </c>
      <c r="CO168" s="206">
        <f t="shared" si="185"/>
        <v>-108</v>
      </c>
      <c r="CP168" s="304">
        <f t="shared" si="186"/>
        <v>-0.11452810180275716</v>
      </c>
    </row>
    <row r="169" spans="1:94" s="148" customFormat="1" ht="18" customHeight="1" x14ac:dyDescent="0.25">
      <c r="A169" s="312" t="s">
        <v>276</v>
      </c>
      <c r="B169" s="416">
        <v>0</v>
      </c>
      <c r="C169" s="416">
        <v>0</v>
      </c>
      <c r="D169" s="416">
        <f t="shared" si="221"/>
        <v>0</v>
      </c>
      <c r="E169" s="567" t="s">
        <v>132</v>
      </c>
      <c r="F169" s="203">
        <v>172</v>
      </c>
      <c r="G169" s="203">
        <f t="shared" si="223"/>
        <v>172</v>
      </c>
      <c r="H169" s="416" t="s">
        <v>132</v>
      </c>
      <c r="I169" s="203">
        <v>234</v>
      </c>
      <c r="J169" s="203">
        <f t="shared" si="225"/>
        <v>62</v>
      </c>
      <c r="K169" s="362">
        <f t="shared" si="226"/>
        <v>0.36046511627906974</v>
      </c>
      <c r="L169" s="203">
        <v>232</v>
      </c>
      <c r="M169" s="203">
        <v>-2</v>
      </c>
      <c r="N169" s="397">
        <v>-8.5470085470085479E-3</v>
      </c>
      <c r="O169" s="203">
        <v>233</v>
      </c>
      <c r="P169" s="203">
        <f t="shared" si="210"/>
        <v>1</v>
      </c>
      <c r="Q169" s="397">
        <f t="shared" si="227"/>
        <v>4.3103448275862068E-3</v>
      </c>
      <c r="R169" s="203">
        <v>266</v>
      </c>
      <c r="S169" s="203">
        <f t="shared" si="193"/>
        <v>33</v>
      </c>
      <c r="T169" s="397">
        <f t="shared" si="228"/>
        <v>0.14163090128755365</v>
      </c>
      <c r="U169" s="203">
        <v>306</v>
      </c>
      <c r="V169" s="203">
        <f t="shared" si="211"/>
        <v>40</v>
      </c>
      <c r="W169" s="397">
        <f t="shared" si="212"/>
        <v>0.15037593984962405</v>
      </c>
      <c r="X169" s="201">
        <v>295</v>
      </c>
      <c r="Y169" s="203">
        <f t="shared" si="229"/>
        <v>-11</v>
      </c>
      <c r="Z169" s="484">
        <f t="shared" si="230"/>
        <v>-3.5947712418300651E-2</v>
      </c>
      <c r="AA169" s="203">
        <v>462</v>
      </c>
      <c r="AB169" s="564">
        <f t="shared" si="231"/>
        <v>167</v>
      </c>
      <c r="AC169" s="485">
        <f t="shared" si="232"/>
        <v>0.56610169491525419</v>
      </c>
      <c r="AD169" s="418">
        <v>463</v>
      </c>
      <c r="AE169" s="418"/>
      <c r="AF169" s="203">
        <v>423</v>
      </c>
      <c r="AG169" s="203">
        <f t="shared" si="194"/>
        <v>-39</v>
      </c>
      <c r="AH169" s="397">
        <f t="shared" si="195"/>
        <v>-8.4415584415584416E-2</v>
      </c>
      <c r="AI169" s="148">
        <v>463</v>
      </c>
      <c r="AJ169" s="148">
        <v>463</v>
      </c>
      <c r="AK169" s="148">
        <v>480</v>
      </c>
      <c r="AL169" s="354"/>
      <c r="AM169" s="203">
        <f t="shared" si="196"/>
        <v>480</v>
      </c>
      <c r="AN169" s="148">
        <v>392</v>
      </c>
      <c r="AO169" s="148">
        <v>392</v>
      </c>
      <c r="AP169" s="148">
        <v>20</v>
      </c>
      <c r="AQ169" s="418">
        <v>9</v>
      </c>
      <c r="AR169" s="418">
        <f t="shared" si="213"/>
        <v>29</v>
      </c>
      <c r="AS169" s="200">
        <f t="shared" si="214"/>
        <v>395.33764000000002</v>
      </c>
      <c r="AT169" s="418">
        <f t="shared" si="215"/>
        <v>-27.662359999999978</v>
      </c>
      <c r="AU169" s="485">
        <f t="shared" si="216"/>
        <v>-6.5395650118203252E-2</v>
      </c>
      <c r="AV169" s="418">
        <f t="shared" si="237"/>
        <v>-27.662359999999978</v>
      </c>
      <c r="AW169" s="485">
        <f t="shared" si="238"/>
        <v>-6.5395650118203252E-2</v>
      </c>
      <c r="AX169" s="203">
        <v>379</v>
      </c>
      <c r="AY169" s="203">
        <f t="shared" si="197"/>
        <v>-44</v>
      </c>
      <c r="AZ169" s="397">
        <f t="shared" si="198"/>
        <v>-0.10401891252955082</v>
      </c>
      <c r="BA169" s="560">
        <v>378.85183000000001</v>
      </c>
      <c r="BB169" s="560">
        <v>366.33764000000002</v>
      </c>
      <c r="BC169" s="560">
        <f t="shared" si="217"/>
        <v>12.514189999999985</v>
      </c>
      <c r="BD169" s="304">
        <f t="shared" si="218"/>
        <v>3.3031884787253066E-2</v>
      </c>
      <c r="BE169" s="203">
        <v>347</v>
      </c>
      <c r="BF169" s="203">
        <f t="shared" si="199"/>
        <v>-32</v>
      </c>
      <c r="BG169" s="397">
        <f t="shared" si="200"/>
        <v>-8.4432717678100261E-2</v>
      </c>
      <c r="BH169" s="418">
        <v>16</v>
      </c>
      <c r="BI169" s="418"/>
      <c r="BJ169" s="418"/>
      <c r="BK169" s="418">
        <v>6</v>
      </c>
      <c r="BL169" s="309">
        <f t="shared" si="201"/>
        <v>369</v>
      </c>
      <c r="BM169" s="309">
        <f t="shared" si="202"/>
        <v>-26.337640000000022</v>
      </c>
      <c r="BN169" s="309">
        <v>394</v>
      </c>
      <c r="BO169" s="309">
        <v>394</v>
      </c>
      <c r="BP169" s="206">
        <f t="shared" si="191"/>
        <v>47</v>
      </c>
      <c r="BQ169" s="362">
        <f t="shared" si="203"/>
        <v>-6.6620623323395217E-2</v>
      </c>
      <c r="BR169" s="205">
        <f t="shared" si="192"/>
        <v>0.13544668587896252</v>
      </c>
      <c r="BS169" s="309">
        <v>19</v>
      </c>
      <c r="BV169" s="148">
        <v>0</v>
      </c>
      <c r="BW169" s="207">
        <f t="shared" si="239"/>
        <v>413</v>
      </c>
      <c r="BX169" s="206">
        <v>394</v>
      </c>
      <c r="BY169" s="206"/>
      <c r="BZ169" s="206">
        <v>366</v>
      </c>
      <c r="CA169" s="206">
        <f t="shared" si="205"/>
        <v>19</v>
      </c>
      <c r="CB169" s="199">
        <f t="shared" si="219"/>
        <v>5.4755043227665709E-2</v>
      </c>
      <c r="CC169" s="309">
        <v>391</v>
      </c>
      <c r="CD169" s="309">
        <v>391</v>
      </c>
      <c r="CE169" s="309"/>
      <c r="CF169" s="206">
        <v>406</v>
      </c>
      <c r="CG169" s="206">
        <f t="shared" si="206"/>
        <v>40</v>
      </c>
      <c r="CH169" s="304">
        <f t="shared" si="207"/>
        <v>0.10928961748633879</v>
      </c>
      <c r="CI169" s="309">
        <v>416</v>
      </c>
      <c r="CJ169" s="309"/>
      <c r="CK169" s="206">
        <f t="shared" si="220"/>
        <v>416</v>
      </c>
      <c r="CL169" s="206">
        <f t="shared" si="184"/>
        <v>10</v>
      </c>
      <c r="CM169" s="562">
        <f t="shared" si="209"/>
        <v>2.4630541871921183E-2</v>
      </c>
      <c r="CN169" s="148">
        <v>419</v>
      </c>
      <c r="CO169" s="206">
        <f t="shared" si="185"/>
        <v>3</v>
      </c>
      <c r="CP169" s="304">
        <f t="shared" si="186"/>
        <v>7.2115384615384619E-3</v>
      </c>
    </row>
    <row r="170" spans="1:94" s="148" customFormat="1" ht="18" customHeight="1" x14ac:dyDescent="0.25">
      <c r="A170" s="68" t="s">
        <v>277</v>
      </c>
      <c r="B170" s="416">
        <v>43651</v>
      </c>
      <c r="C170" s="567">
        <v>35934</v>
      </c>
      <c r="D170" s="567">
        <f t="shared" si="221"/>
        <v>-7717</v>
      </c>
      <c r="E170" s="625">
        <f>D170/B170</f>
        <v>-0.17678861881743832</v>
      </c>
      <c r="F170" s="416">
        <v>40644</v>
      </c>
      <c r="G170" s="416">
        <f t="shared" si="223"/>
        <v>4710</v>
      </c>
      <c r="H170" s="563">
        <f>G170/C170</f>
        <v>0.13107363499749541</v>
      </c>
      <c r="I170" s="647">
        <v>31233</v>
      </c>
      <c r="J170" s="203">
        <f t="shared" si="225"/>
        <v>-9411</v>
      </c>
      <c r="K170" s="362">
        <f>J170/F170</f>
        <v>-0.2315470918216711</v>
      </c>
      <c r="L170" s="416">
        <v>38462</v>
      </c>
      <c r="M170" s="203">
        <f>L170-I170</f>
        <v>7229</v>
      </c>
      <c r="N170" s="397">
        <f>M170/I170</f>
        <v>0.23145391092754458</v>
      </c>
      <c r="O170" s="423">
        <v>50693</v>
      </c>
      <c r="P170" s="203">
        <f t="shared" si="210"/>
        <v>12231</v>
      </c>
      <c r="Q170" s="397">
        <f t="shared" si="227"/>
        <v>0.31800218397379232</v>
      </c>
      <c r="R170" s="203">
        <v>68157</v>
      </c>
      <c r="S170" s="423">
        <f t="shared" si="193"/>
        <v>17464</v>
      </c>
      <c r="T170" s="397">
        <f t="shared" si="228"/>
        <v>0.34450515850314639</v>
      </c>
      <c r="U170" s="203">
        <v>73936</v>
      </c>
      <c r="V170" s="203">
        <f t="shared" si="211"/>
        <v>5779</v>
      </c>
      <c r="W170" s="397">
        <f t="shared" si="212"/>
        <v>8.478953005560691E-2</v>
      </c>
      <c r="X170" s="201">
        <v>84463</v>
      </c>
      <c r="Y170" s="203">
        <f t="shared" si="229"/>
        <v>10527</v>
      </c>
      <c r="Z170" s="484">
        <f t="shared" si="230"/>
        <v>0.14237989612637958</v>
      </c>
      <c r="AA170" s="203">
        <v>81143</v>
      </c>
      <c r="AB170" s="564">
        <f t="shared" si="231"/>
        <v>-3320</v>
      </c>
      <c r="AC170" s="485">
        <f t="shared" si="232"/>
        <v>-3.9307152244177926E-2</v>
      </c>
      <c r="AD170" s="418">
        <v>85016</v>
      </c>
      <c r="AE170" s="418"/>
      <c r="AF170" s="203">
        <v>97016</v>
      </c>
      <c r="AG170" s="203">
        <f t="shared" si="194"/>
        <v>15873</v>
      </c>
      <c r="AH170" s="397">
        <f t="shared" si="195"/>
        <v>0.19561761334927227</v>
      </c>
      <c r="AI170" s="418">
        <f>AD170+12468</f>
        <v>97484</v>
      </c>
      <c r="AJ170" s="418">
        <f>AF170+12468</f>
        <v>109484</v>
      </c>
      <c r="AK170" s="148">
        <v>97865</v>
      </c>
      <c r="AL170" s="354"/>
      <c r="AM170" s="203">
        <f t="shared" si="196"/>
        <v>97865</v>
      </c>
      <c r="AN170" s="418">
        <v>90553</v>
      </c>
      <c r="AO170" s="418">
        <v>90553</v>
      </c>
      <c r="AP170" s="148">
        <v>2402</v>
      </c>
      <c r="AQ170" s="418">
        <v>460</v>
      </c>
      <c r="AR170" s="418">
        <f t="shared" si="213"/>
        <v>2862</v>
      </c>
      <c r="AS170" s="200">
        <f t="shared" si="214"/>
        <v>99926.359840000005</v>
      </c>
      <c r="AT170" s="418">
        <f t="shared" si="215"/>
        <v>2910.3598400000046</v>
      </c>
      <c r="AU170" s="485">
        <f t="shared" si="216"/>
        <v>2.9998761441411774E-2</v>
      </c>
      <c r="AV170" s="418">
        <f t="shared" si="237"/>
        <v>2910.3598400000046</v>
      </c>
      <c r="AW170" s="485">
        <f t="shared" si="238"/>
        <v>2.9998761441411774E-2</v>
      </c>
      <c r="AX170" s="203">
        <f>90311+8400</f>
        <v>98711</v>
      </c>
      <c r="AY170" s="203">
        <f t="shared" si="197"/>
        <v>1695</v>
      </c>
      <c r="AZ170" s="397">
        <f t="shared" si="198"/>
        <v>1.7471344932794591E-2</v>
      </c>
      <c r="BA170" s="560">
        <v>98710.513139999995</v>
      </c>
      <c r="BB170" s="560">
        <v>97064.359840000005</v>
      </c>
      <c r="BC170" s="560">
        <f t="shared" si="217"/>
        <v>1646.1532999999908</v>
      </c>
      <c r="BD170" s="304">
        <f t="shared" si="218"/>
        <v>1.6676575246501558E-2</v>
      </c>
      <c r="BE170" s="203">
        <v>105431</v>
      </c>
      <c r="BF170" s="203">
        <f t="shared" si="199"/>
        <v>6720</v>
      </c>
      <c r="BG170" s="397">
        <f t="shared" si="200"/>
        <v>6.8077519222781657E-2</v>
      </c>
      <c r="BH170" s="418">
        <v>2253</v>
      </c>
      <c r="BI170" s="418"/>
      <c r="BJ170" s="418"/>
      <c r="BK170" s="418">
        <v>86</v>
      </c>
      <c r="BL170" s="309">
        <f t="shared" si="201"/>
        <v>107770</v>
      </c>
      <c r="BM170" s="309">
        <f t="shared" si="202"/>
        <v>7843.6401599999954</v>
      </c>
      <c r="BN170" s="309">
        <v>106384</v>
      </c>
      <c r="BO170" s="309">
        <v>106384</v>
      </c>
      <c r="BP170" s="206">
        <f t="shared" si="191"/>
        <v>953</v>
      </c>
      <c r="BQ170" s="362">
        <f t="shared" si="203"/>
        <v>7.8494204858048144E-2</v>
      </c>
      <c r="BR170" s="205">
        <f t="shared" si="192"/>
        <v>9.0390871754986672E-3</v>
      </c>
      <c r="BS170" s="309">
        <v>2580</v>
      </c>
      <c r="BV170" s="148">
        <v>5</v>
      </c>
      <c r="BW170" s="207">
        <f t="shared" si="239"/>
        <v>108969</v>
      </c>
      <c r="BX170" s="206">
        <v>106384</v>
      </c>
      <c r="BY170" s="206"/>
      <c r="BZ170" s="206">
        <v>100185</v>
      </c>
      <c r="CA170" s="206">
        <f t="shared" si="205"/>
        <v>-5246</v>
      </c>
      <c r="CB170" s="199">
        <f t="shared" si="219"/>
        <v>-4.9757661408883533E-2</v>
      </c>
      <c r="CC170" s="309">
        <v>104890</v>
      </c>
      <c r="CD170" s="309">
        <v>104890</v>
      </c>
      <c r="CE170" s="309"/>
      <c r="CF170" s="206">
        <v>99826</v>
      </c>
      <c r="CG170" s="206">
        <f t="shared" si="206"/>
        <v>-359</v>
      </c>
      <c r="CH170" s="304">
        <f t="shared" si="207"/>
        <v>-3.5833707640864402E-3</v>
      </c>
      <c r="CI170" s="309">
        <v>105899</v>
      </c>
      <c r="CJ170" s="309"/>
      <c r="CK170" s="206">
        <f t="shared" si="220"/>
        <v>105899</v>
      </c>
      <c r="CL170" s="206">
        <f t="shared" si="184"/>
        <v>6073</v>
      </c>
      <c r="CM170" s="562">
        <f t="shared" si="209"/>
        <v>6.0835854386632741E-2</v>
      </c>
      <c r="CN170" s="418">
        <v>106019</v>
      </c>
      <c r="CO170" s="206">
        <f t="shared" si="185"/>
        <v>120</v>
      </c>
      <c r="CP170" s="304">
        <f t="shared" si="186"/>
        <v>1.1331551761584152E-3</v>
      </c>
    </row>
    <row r="171" spans="1:94" ht="18" customHeight="1" x14ac:dyDescent="0.25">
      <c r="A171" s="68" t="s">
        <v>278</v>
      </c>
      <c r="B171" s="302">
        <v>31598</v>
      </c>
      <c r="C171" s="310">
        <v>33719</v>
      </c>
      <c r="D171" s="310">
        <f t="shared" si="221"/>
        <v>2121</v>
      </c>
      <c r="E171" s="415">
        <f>D171/B171</f>
        <v>6.7124501550731061E-2</v>
      </c>
      <c r="F171" s="302">
        <v>43645</v>
      </c>
      <c r="G171" s="302">
        <f t="shared" si="223"/>
        <v>9926</v>
      </c>
      <c r="H171" s="303">
        <f>G171/C171</f>
        <v>0.29437409175835583</v>
      </c>
      <c r="I171" s="609">
        <v>16718</v>
      </c>
      <c r="J171" s="204">
        <f t="shared" si="225"/>
        <v>-26927</v>
      </c>
      <c r="K171" s="199">
        <f>J171/F171</f>
        <v>-0.61695497766067131</v>
      </c>
      <c r="L171" s="302">
        <v>23708</v>
      </c>
      <c r="M171" s="204">
        <f>L171-I171</f>
        <v>6990</v>
      </c>
      <c r="N171" s="304">
        <f>M171/I171</f>
        <v>0.41811221437971047</v>
      </c>
      <c r="O171" s="315">
        <v>20914</v>
      </c>
      <c r="P171" s="204">
        <f t="shared" si="210"/>
        <v>-2794</v>
      </c>
      <c r="Q171" s="304">
        <f t="shared" si="227"/>
        <v>-0.11785051459422979</v>
      </c>
      <c r="R171" s="315">
        <v>72284</v>
      </c>
      <c r="S171" s="315">
        <f t="shared" si="193"/>
        <v>51370</v>
      </c>
      <c r="T171" s="304">
        <f t="shared" si="228"/>
        <v>2.4562494023142394</v>
      </c>
      <c r="U171" s="204">
        <v>83057</v>
      </c>
      <c r="V171" s="204">
        <f t="shared" si="211"/>
        <v>10773</v>
      </c>
      <c r="W171" s="304">
        <f t="shared" si="212"/>
        <v>0.14903713131536717</v>
      </c>
      <c r="X171" s="201">
        <v>86010</v>
      </c>
      <c r="Y171" s="204">
        <f t="shared" si="229"/>
        <v>2953</v>
      </c>
      <c r="Z171" s="484">
        <f>Y171/U171</f>
        <v>3.5553896721528588E-2</v>
      </c>
      <c r="AA171" s="203">
        <v>94871</v>
      </c>
      <c r="AB171" s="374">
        <f t="shared" si="231"/>
        <v>8861</v>
      </c>
      <c r="AC171" s="205">
        <f t="shared" si="232"/>
        <v>0.10302290431345193</v>
      </c>
      <c r="AD171" s="200">
        <v>62007</v>
      </c>
      <c r="AE171" s="200">
        <v>6200</v>
      </c>
      <c r="AF171" s="204">
        <v>64902</v>
      </c>
      <c r="AG171" s="204">
        <f t="shared" si="194"/>
        <v>-29969</v>
      </c>
      <c r="AH171" s="304">
        <f t="shared" si="195"/>
        <v>-0.3158921061230513</v>
      </c>
      <c r="AI171" s="200">
        <f>AD171-373</f>
        <v>61634</v>
      </c>
      <c r="AJ171" s="200">
        <f>AF171-373</f>
        <v>64529</v>
      </c>
      <c r="AK171" s="66">
        <v>64937</v>
      </c>
      <c r="AL171" s="354">
        <v>100</v>
      </c>
      <c r="AM171" s="204">
        <f t="shared" si="196"/>
        <v>65037</v>
      </c>
      <c r="AN171" s="200">
        <v>56715</v>
      </c>
      <c r="AO171" s="200">
        <v>62915</v>
      </c>
      <c r="AQ171" s="200">
        <v>179</v>
      </c>
      <c r="AR171" s="200">
        <f t="shared" si="213"/>
        <v>179</v>
      </c>
      <c r="AS171" s="200">
        <f t="shared" si="214"/>
        <v>58890.613149999997</v>
      </c>
      <c r="AT171" s="200">
        <f t="shared" si="215"/>
        <v>-6011.3868500000026</v>
      </c>
      <c r="AU171" s="205">
        <f t="shared" si="216"/>
        <v>-9.2622520877630926E-2</v>
      </c>
      <c r="AV171" s="200">
        <f t="shared" si="237"/>
        <v>-6011.3868500000026</v>
      </c>
      <c r="AW171" s="205">
        <f t="shared" si="238"/>
        <v>-9.2622520877630926E-2</v>
      </c>
      <c r="AX171" s="204">
        <v>59544</v>
      </c>
      <c r="AY171" s="204">
        <f t="shared" si="197"/>
        <v>-5358</v>
      </c>
      <c r="AZ171" s="304">
        <f t="shared" si="198"/>
        <v>-8.2555237126744938E-2</v>
      </c>
      <c r="BA171" s="560">
        <f>53343.66569+7913.545</f>
        <v>61257.21069</v>
      </c>
      <c r="BB171" s="560">
        <f>53084.05282+5627.56033</f>
        <v>58711.613149999997</v>
      </c>
      <c r="BC171" s="560">
        <f t="shared" si="217"/>
        <v>2545.5975400000025</v>
      </c>
      <c r="BD171" s="304">
        <f t="shared" si="218"/>
        <v>4.1555883973926379E-2</v>
      </c>
      <c r="BE171" s="204">
        <v>63227</v>
      </c>
      <c r="BF171" s="204">
        <f t="shared" si="199"/>
        <v>3683</v>
      </c>
      <c r="BG171" s="304">
        <f t="shared" si="200"/>
        <v>6.1853419320166601E-2</v>
      </c>
      <c r="BH171" s="200"/>
      <c r="BI171" s="200"/>
      <c r="BJ171" s="200"/>
      <c r="BK171" s="200"/>
      <c r="BL171" s="206">
        <f t="shared" si="201"/>
        <v>63227</v>
      </c>
      <c r="BM171" s="206">
        <f t="shared" si="202"/>
        <v>4336.3868500000026</v>
      </c>
      <c r="BN171" s="206">
        <v>61276</v>
      </c>
      <c r="BO171" s="206">
        <v>61276</v>
      </c>
      <c r="BP171" s="206">
        <f t="shared" si="191"/>
        <v>-1951</v>
      </c>
      <c r="BQ171" s="199">
        <f t="shared" si="203"/>
        <v>7.3634601815994211E-2</v>
      </c>
      <c r="BR171" s="205">
        <f t="shared" si="192"/>
        <v>-3.0857070555300743E-2</v>
      </c>
      <c r="BS171" s="206">
        <v>6403</v>
      </c>
      <c r="BV171" s="66">
        <v>1</v>
      </c>
      <c r="BW171" s="207">
        <f t="shared" si="239"/>
        <v>67680</v>
      </c>
      <c r="BX171" s="206">
        <v>61276</v>
      </c>
      <c r="BY171" s="206"/>
      <c r="BZ171" s="206">
        <v>59214</v>
      </c>
      <c r="CA171" s="206">
        <f t="shared" si="205"/>
        <v>-4013</v>
      </c>
      <c r="CB171" s="199">
        <f t="shared" si="219"/>
        <v>-6.3469720214465342E-2</v>
      </c>
      <c r="CC171" s="206">
        <v>62754</v>
      </c>
      <c r="CD171" s="206">
        <v>62754</v>
      </c>
      <c r="CE171" s="206"/>
      <c r="CF171" s="206">
        <v>61761</v>
      </c>
      <c r="CG171" s="206">
        <f t="shared" si="206"/>
        <v>2547</v>
      </c>
      <c r="CH171" s="304">
        <f t="shared" si="207"/>
        <v>4.3013476542709497E-2</v>
      </c>
      <c r="CI171" s="206">
        <f>123480</f>
        <v>123480</v>
      </c>
      <c r="CJ171" s="206"/>
      <c r="CK171" s="206">
        <f t="shared" si="220"/>
        <v>123480</v>
      </c>
      <c r="CL171" s="206">
        <f t="shared" si="184"/>
        <v>61719</v>
      </c>
      <c r="CM171" s="562">
        <f t="shared" si="209"/>
        <v>0.9993199591975519</v>
      </c>
      <c r="CN171" s="200">
        <v>124988</v>
      </c>
      <c r="CO171" s="206">
        <f t="shared" si="185"/>
        <v>1508</v>
      </c>
      <c r="CP171" s="304">
        <f t="shared" si="186"/>
        <v>1.2212504049238742E-2</v>
      </c>
    </row>
    <row r="172" spans="1:94" ht="18" customHeight="1" x14ac:dyDescent="0.25">
      <c r="A172" s="68" t="s">
        <v>279</v>
      </c>
      <c r="B172" s="302">
        <v>258526</v>
      </c>
      <c r="C172" s="310">
        <v>271376</v>
      </c>
      <c r="D172" s="310">
        <f t="shared" si="221"/>
        <v>12850</v>
      </c>
      <c r="E172" s="415">
        <f>D172/B172</f>
        <v>4.9704865274672563E-2</v>
      </c>
      <c r="F172" s="302">
        <v>357124</v>
      </c>
      <c r="G172" s="302">
        <f t="shared" si="223"/>
        <v>85748</v>
      </c>
      <c r="H172" s="303">
        <f>G172/C172</f>
        <v>0.31597488355639408</v>
      </c>
      <c r="I172" s="609">
        <v>418388</v>
      </c>
      <c r="J172" s="204">
        <f t="shared" si="225"/>
        <v>61264</v>
      </c>
      <c r="K172" s="199">
        <f>(I172-F172)/F172</f>
        <v>0.17154825774800911</v>
      </c>
      <c r="L172" s="302">
        <v>432513</v>
      </c>
      <c r="M172" s="204">
        <f>L172-I172</f>
        <v>14125</v>
      </c>
      <c r="N172" s="304">
        <f>M172/I172</f>
        <v>3.3760528504641625E-2</v>
      </c>
      <c r="O172" s="315">
        <v>444981</v>
      </c>
      <c r="P172" s="204">
        <f t="shared" si="210"/>
        <v>12468</v>
      </c>
      <c r="Q172" s="304">
        <f t="shared" si="227"/>
        <v>2.8826879192070526E-2</v>
      </c>
      <c r="R172" s="315">
        <v>486711</v>
      </c>
      <c r="S172" s="315">
        <f t="shared" si="193"/>
        <v>41730</v>
      </c>
      <c r="T172" s="304">
        <f t="shared" si="228"/>
        <v>9.3779284958234177E-2</v>
      </c>
      <c r="U172" s="204">
        <v>547437</v>
      </c>
      <c r="V172" s="204">
        <f t="shared" si="211"/>
        <v>60726</v>
      </c>
      <c r="W172" s="304">
        <f t="shared" si="212"/>
        <v>0.12476808619488773</v>
      </c>
      <c r="X172" s="201">
        <v>573609</v>
      </c>
      <c r="Y172" s="204">
        <f t="shared" si="229"/>
        <v>26172</v>
      </c>
      <c r="Z172" s="484">
        <f t="shared" si="230"/>
        <v>4.7808240948273503E-2</v>
      </c>
      <c r="AA172" s="203">
        <f>464159</f>
        <v>464159</v>
      </c>
      <c r="AB172" s="374">
        <f t="shared" si="231"/>
        <v>-109450</v>
      </c>
      <c r="AC172" s="205">
        <f>AB172/X172</f>
        <v>-0.19080941895960488</v>
      </c>
      <c r="AD172" s="200">
        <v>486691</v>
      </c>
      <c r="AE172" s="200">
        <f>25764+1823</f>
        <v>27587</v>
      </c>
      <c r="AF172" s="204">
        <f>530124</f>
        <v>530124</v>
      </c>
      <c r="AG172" s="204">
        <f t="shared" si="194"/>
        <v>65965</v>
      </c>
      <c r="AH172" s="304">
        <f t="shared" si="195"/>
        <v>0.14211724861523745</v>
      </c>
      <c r="AI172" s="200">
        <f>AD172+149</f>
        <v>486840</v>
      </c>
      <c r="AJ172" s="200">
        <f>AF172+20214</f>
        <v>550338</v>
      </c>
      <c r="AK172" s="66">
        <v>700069</v>
      </c>
      <c r="AL172" s="354"/>
      <c r="AM172" s="204">
        <f t="shared" si="196"/>
        <v>700069</v>
      </c>
      <c r="AN172" s="200">
        <f>509039</f>
        <v>509039</v>
      </c>
      <c r="AO172" s="200">
        <f>580186</f>
        <v>580186</v>
      </c>
      <c r="AQ172" s="200">
        <v>10</v>
      </c>
      <c r="AR172" s="200">
        <f t="shared" si="213"/>
        <v>10</v>
      </c>
      <c r="AS172" s="200">
        <f t="shared" si="214"/>
        <v>608886.04353999998</v>
      </c>
      <c r="AT172" s="200">
        <f t="shared" si="215"/>
        <v>78762.043539999984</v>
      </c>
      <c r="AU172" s="205">
        <f t="shared" si="216"/>
        <v>0.14857286887596108</v>
      </c>
      <c r="AV172" s="200">
        <f t="shared" si="237"/>
        <v>78762.043539999984</v>
      </c>
      <c r="AW172" s="205">
        <f t="shared" si="238"/>
        <v>0.14857286887596108</v>
      </c>
      <c r="AX172" s="204">
        <f>591800+80700+26397</f>
        <v>698897</v>
      </c>
      <c r="AY172" s="204">
        <f>AX172-AF172</f>
        <v>168773</v>
      </c>
      <c r="AZ172" s="304">
        <f t="shared" si="198"/>
        <v>0.31836513721318033</v>
      </c>
      <c r="BA172" s="560">
        <f>557713.53049+58465.71093+1267.74466</f>
        <v>617446.98608000006</v>
      </c>
      <c r="BB172" s="560">
        <f>557237.35858+50578.72291+1059.96205</f>
        <v>608876.04353999998</v>
      </c>
      <c r="BC172" s="560">
        <f t="shared" si="217"/>
        <v>8570.9425400000764</v>
      </c>
      <c r="BD172" s="304">
        <f t="shared" si="218"/>
        <v>1.3881260631644859E-2</v>
      </c>
      <c r="BE172" s="204">
        <v>720433</v>
      </c>
      <c r="BF172" s="204">
        <f t="shared" si="199"/>
        <v>21536</v>
      </c>
      <c r="BG172" s="304">
        <f t="shared" si="200"/>
        <v>3.0814268769217782E-2</v>
      </c>
      <c r="BH172" s="200"/>
      <c r="BI172" s="200"/>
      <c r="BJ172" s="200"/>
      <c r="BK172" s="200"/>
      <c r="BL172" s="206">
        <f>BE172+BH172+BI172+BJ172+BK172</f>
        <v>720433</v>
      </c>
      <c r="BM172" s="206">
        <f t="shared" si="202"/>
        <v>111546.95646000002</v>
      </c>
      <c r="BN172" s="206">
        <v>750612</v>
      </c>
      <c r="BO172" s="206">
        <v>756415</v>
      </c>
      <c r="BP172" s="206">
        <f t="shared" si="191"/>
        <v>35982</v>
      </c>
      <c r="BQ172" s="199">
        <f t="shared" si="203"/>
        <v>0.18319841231945083</v>
      </c>
      <c r="BR172" s="205">
        <f t="shared" si="192"/>
        <v>4.9944963653802646E-2</v>
      </c>
      <c r="BS172" s="206">
        <v>1160</v>
      </c>
      <c r="BV172" s="66">
        <v>3</v>
      </c>
      <c r="BW172" s="207">
        <f t="shared" si="239"/>
        <v>751775</v>
      </c>
      <c r="BX172" s="206">
        <v>756415</v>
      </c>
      <c r="BY172" s="206">
        <v>5000</v>
      </c>
      <c r="BZ172" s="206">
        <v>793373</v>
      </c>
      <c r="CA172" s="206">
        <f t="shared" si="205"/>
        <v>72940</v>
      </c>
      <c r="CB172" s="199">
        <f t="shared" si="219"/>
        <v>0.10124466813707868</v>
      </c>
      <c r="CC172" s="206">
        <v>805071</v>
      </c>
      <c r="CD172" s="206">
        <v>804271</v>
      </c>
      <c r="CE172" s="206"/>
      <c r="CF172" s="206">
        <v>782513</v>
      </c>
      <c r="CG172" s="206">
        <f t="shared" si="206"/>
        <v>-10860</v>
      </c>
      <c r="CH172" s="304">
        <f t="shared" si="207"/>
        <v>-1.3688391210691566E-2</v>
      </c>
      <c r="CI172" s="206">
        <f>786063</f>
        <v>786063</v>
      </c>
      <c r="CJ172" s="206">
        <v>-25000</v>
      </c>
      <c r="CK172" s="206">
        <f t="shared" si="220"/>
        <v>761063</v>
      </c>
      <c r="CL172" s="206">
        <f t="shared" si="184"/>
        <v>-21450</v>
      </c>
      <c r="CM172" s="562">
        <f t="shared" si="209"/>
        <v>-2.7411685173281467E-2</v>
      </c>
      <c r="CN172" s="200">
        <v>759552</v>
      </c>
      <c r="CO172" s="206">
        <f t="shared" si="185"/>
        <v>-1511</v>
      </c>
      <c r="CP172" s="304">
        <f t="shared" si="186"/>
        <v>-1.9853809737170247E-3</v>
      </c>
    </row>
    <row r="173" spans="1:94" ht="18" customHeight="1" x14ac:dyDescent="0.25">
      <c r="A173" s="68" t="s">
        <v>522</v>
      </c>
      <c r="B173" s="302"/>
      <c r="C173" s="310"/>
      <c r="D173" s="310"/>
      <c r="E173" s="415"/>
      <c r="F173" s="302"/>
      <c r="G173" s="302"/>
      <c r="H173" s="303"/>
      <c r="I173" s="609"/>
      <c r="J173" s="204"/>
      <c r="L173" s="302"/>
      <c r="M173" s="204"/>
      <c r="N173" s="304"/>
      <c r="O173" s="315"/>
      <c r="P173" s="204"/>
      <c r="Q173" s="304"/>
      <c r="R173" s="315"/>
      <c r="S173" s="315"/>
      <c r="T173" s="304"/>
      <c r="U173" s="204"/>
      <c r="V173" s="204"/>
      <c r="W173" s="304"/>
      <c r="Y173" s="204"/>
      <c r="AB173" s="374"/>
      <c r="AD173" s="200"/>
      <c r="AE173" s="200"/>
      <c r="AH173" s="304"/>
      <c r="AI173" s="200"/>
      <c r="AJ173" s="200"/>
      <c r="AL173" s="354"/>
      <c r="AM173" s="204"/>
      <c r="AN173" s="200"/>
      <c r="AO173" s="200"/>
      <c r="AQ173" s="200"/>
      <c r="AR173" s="200"/>
      <c r="AS173" s="200"/>
      <c r="AT173" s="200"/>
      <c r="AU173" s="205"/>
      <c r="AV173" s="200"/>
      <c r="AW173" s="205"/>
      <c r="BA173" s="560"/>
      <c r="BB173" s="560"/>
      <c r="BC173" s="560"/>
      <c r="BH173" s="200"/>
      <c r="BI173" s="200"/>
      <c r="BJ173" s="200"/>
      <c r="BK173" s="200"/>
      <c r="BL173" s="206"/>
      <c r="BM173" s="206"/>
      <c r="BN173" s="206"/>
      <c r="BO173" s="206"/>
      <c r="BP173" s="206"/>
      <c r="BQ173" s="199"/>
      <c r="BR173" s="205"/>
      <c r="BW173" s="207"/>
      <c r="BX173" s="206"/>
      <c r="BY173" s="206"/>
      <c r="BZ173" s="206"/>
      <c r="CA173" s="206"/>
      <c r="CB173" s="199"/>
      <c r="CC173" s="206"/>
      <c r="CD173" s="206"/>
      <c r="CE173" s="206"/>
      <c r="CF173" s="206">
        <v>0</v>
      </c>
      <c r="CG173" s="206"/>
      <c r="CH173" s="304"/>
      <c r="CI173" s="206">
        <v>28751</v>
      </c>
      <c r="CJ173" s="206"/>
      <c r="CK173" s="206">
        <f t="shared" si="220"/>
        <v>28751</v>
      </c>
      <c r="CL173" s="206">
        <f t="shared" si="184"/>
        <v>28751</v>
      </c>
      <c r="CM173" s="562" t="e">
        <f>CL173/CF173</f>
        <v>#DIV/0!</v>
      </c>
      <c r="CN173" s="200">
        <v>29614</v>
      </c>
      <c r="CO173" s="206">
        <f t="shared" si="185"/>
        <v>863</v>
      </c>
      <c r="CP173" s="304">
        <f t="shared" si="186"/>
        <v>3.0016347257486697E-2</v>
      </c>
    </row>
    <row r="174" spans="1:94" ht="18" customHeight="1" x14ac:dyDescent="0.25">
      <c r="A174" s="68" t="s">
        <v>280</v>
      </c>
      <c r="B174" s="302"/>
      <c r="C174" s="310"/>
      <c r="D174" s="310"/>
      <c r="E174" s="415"/>
      <c r="F174" s="302"/>
      <c r="G174" s="302"/>
      <c r="H174" s="303"/>
      <c r="I174" s="609"/>
      <c r="J174" s="204"/>
      <c r="L174" s="302"/>
      <c r="M174" s="204"/>
      <c r="N174" s="304"/>
      <c r="O174" s="315"/>
      <c r="P174" s="204"/>
      <c r="Q174" s="304"/>
      <c r="R174" s="315"/>
      <c r="S174" s="315"/>
      <c r="T174" s="304"/>
      <c r="U174" s="204"/>
      <c r="V174" s="204"/>
      <c r="W174" s="304"/>
      <c r="Y174" s="204"/>
      <c r="AB174" s="374"/>
      <c r="AD174" s="200"/>
      <c r="AE174" s="200"/>
      <c r="AH174" s="304"/>
      <c r="AI174" s="200"/>
      <c r="AJ174" s="200"/>
      <c r="AL174" s="354"/>
      <c r="AM174" s="204"/>
      <c r="AN174" s="200"/>
      <c r="AO174" s="200"/>
      <c r="AQ174" s="200"/>
      <c r="AR174" s="200"/>
      <c r="AS174" s="200">
        <f t="shared" si="214"/>
        <v>11200</v>
      </c>
      <c r="AT174" s="200"/>
      <c r="AU174" s="205"/>
      <c r="AV174" s="200"/>
      <c r="AW174" s="205"/>
      <c r="BA174" s="591">
        <v>11200</v>
      </c>
      <c r="BB174" s="591">
        <v>11200</v>
      </c>
      <c r="BC174" s="560">
        <f t="shared" si="217"/>
        <v>0</v>
      </c>
      <c r="BD174" s="304">
        <f t="shared" si="218"/>
        <v>0</v>
      </c>
      <c r="BH174" s="200"/>
      <c r="BI174" s="200"/>
      <c r="BJ174" s="200"/>
      <c r="BK174" s="200"/>
      <c r="BL174" s="206"/>
      <c r="BM174" s="206"/>
      <c r="BN174" s="206"/>
      <c r="BO174" s="206"/>
      <c r="BP174" s="206">
        <f t="shared" si="191"/>
        <v>0</v>
      </c>
      <c r="BQ174" s="199"/>
      <c r="BR174" s="205" t="e">
        <f t="shared" si="192"/>
        <v>#DIV/0!</v>
      </c>
      <c r="BW174" s="207">
        <f t="shared" si="239"/>
        <v>0</v>
      </c>
      <c r="BX174" s="206"/>
      <c r="BY174" s="206"/>
      <c r="BZ174" s="206">
        <f t="shared" si="235"/>
        <v>0</v>
      </c>
      <c r="CA174" s="206">
        <f t="shared" si="205"/>
        <v>0</v>
      </c>
      <c r="CB174" s="199" t="e">
        <f t="shared" si="219"/>
        <v>#DIV/0!</v>
      </c>
      <c r="CC174" s="206"/>
      <c r="CD174" s="206"/>
      <c r="CE174" s="206"/>
      <c r="CF174" s="206">
        <f t="shared" si="236"/>
        <v>0</v>
      </c>
      <c r="CG174" s="206">
        <f t="shared" si="206"/>
        <v>0</v>
      </c>
      <c r="CH174" s="304" t="e">
        <f t="shared" si="207"/>
        <v>#DIV/0!</v>
      </c>
      <c r="CI174" s="206"/>
      <c r="CJ174" s="206"/>
      <c r="CK174" s="206">
        <f t="shared" si="220"/>
        <v>0</v>
      </c>
      <c r="CL174" s="206">
        <f t="shared" si="184"/>
        <v>0</v>
      </c>
      <c r="CM174" s="562" t="e">
        <f>CL174/CF174</f>
        <v>#DIV/0!</v>
      </c>
      <c r="CO174" s="206">
        <f t="shared" si="185"/>
        <v>0</v>
      </c>
      <c r="CP174" s="304" t="e">
        <f t="shared" si="186"/>
        <v>#DIV/0!</v>
      </c>
    </row>
    <row r="175" spans="1:94" s="211" customFormat="1" ht="18" customHeight="1" thickBot="1" x14ac:dyDescent="0.3">
      <c r="A175" s="325" t="s">
        <v>281</v>
      </c>
      <c r="B175" s="326" t="s">
        <v>132</v>
      </c>
      <c r="C175" s="326" t="s">
        <v>132</v>
      </c>
      <c r="D175" s="326" t="s">
        <v>132</v>
      </c>
      <c r="E175" s="326" t="s">
        <v>132</v>
      </c>
      <c r="F175" s="326" t="s">
        <v>132</v>
      </c>
      <c r="G175" s="326" t="s">
        <v>132</v>
      </c>
      <c r="H175" s="326" t="s">
        <v>132</v>
      </c>
      <c r="I175" s="648" t="s">
        <v>132</v>
      </c>
      <c r="J175" s="327"/>
      <c r="K175" s="212"/>
      <c r="L175" s="327">
        <v>44096</v>
      </c>
      <c r="M175" s="327">
        <v>-30042</v>
      </c>
      <c r="N175" s="328">
        <v>-0.40521729747228141</v>
      </c>
      <c r="O175" s="327">
        <v>0</v>
      </c>
      <c r="P175" s="327">
        <f t="shared" si="210"/>
        <v>-44096</v>
      </c>
      <c r="Q175" s="328">
        <f>P175/L175</f>
        <v>-1</v>
      </c>
      <c r="R175" s="327">
        <v>0</v>
      </c>
      <c r="S175" s="327">
        <f t="shared" si="193"/>
        <v>0</v>
      </c>
      <c r="T175" s="412" t="s">
        <v>132</v>
      </c>
      <c r="U175" s="326">
        <v>26927</v>
      </c>
      <c r="V175" s="327">
        <f t="shared" si="211"/>
        <v>26927</v>
      </c>
      <c r="W175" s="412" t="s">
        <v>132</v>
      </c>
      <c r="X175" s="592">
        <v>0</v>
      </c>
      <c r="Y175" s="327">
        <f t="shared" si="229"/>
        <v>-26927</v>
      </c>
      <c r="Z175" s="594">
        <f>Y175/U175</f>
        <v>-1</v>
      </c>
      <c r="AA175" s="428"/>
      <c r="AB175" s="450"/>
      <c r="AC175" s="334"/>
      <c r="AF175" s="327"/>
      <c r="AG175" s="327">
        <f t="shared" si="194"/>
        <v>0</v>
      </c>
      <c r="AH175" s="328" t="e">
        <f t="shared" si="195"/>
        <v>#DIV/0!</v>
      </c>
      <c r="AL175" s="451"/>
      <c r="AM175" s="327">
        <f t="shared" si="196"/>
        <v>0</v>
      </c>
      <c r="AQ175" s="331"/>
      <c r="AR175" s="331">
        <f t="shared" si="213"/>
        <v>0</v>
      </c>
      <c r="AS175" s="331">
        <f t="shared" si="214"/>
        <v>0</v>
      </c>
      <c r="AT175" s="331">
        <f t="shared" si="215"/>
        <v>0</v>
      </c>
      <c r="AU175" s="334" t="e">
        <f t="shared" si="216"/>
        <v>#DIV/0!</v>
      </c>
      <c r="AV175" s="649"/>
      <c r="AW175" s="649"/>
      <c r="AX175" s="327"/>
      <c r="AY175" s="327">
        <f t="shared" si="197"/>
        <v>0</v>
      </c>
      <c r="AZ175" s="328" t="e">
        <f t="shared" si="198"/>
        <v>#DIV/0!</v>
      </c>
      <c r="BA175" s="328"/>
      <c r="BB175" s="328"/>
      <c r="BC175" s="595">
        <f t="shared" si="217"/>
        <v>0</v>
      </c>
      <c r="BD175" s="328"/>
      <c r="BE175" s="327"/>
      <c r="BF175" s="327">
        <f>BE175-AX175</f>
        <v>0</v>
      </c>
      <c r="BG175" s="328" t="e">
        <f>BF175/AX175</f>
        <v>#DIV/0!</v>
      </c>
      <c r="BH175" s="331"/>
      <c r="BI175" s="331"/>
      <c r="BJ175" s="331"/>
      <c r="BK175" s="331"/>
      <c r="BL175" s="333">
        <f t="shared" si="201"/>
        <v>0</v>
      </c>
      <c r="BM175" s="333">
        <f>BL175-AS175</f>
        <v>0</v>
      </c>
      <c r="BN175" s="333"/>
      <c r="BO175" s="333"/>
      <c r="BP175" s="333">
        <f t="shared" si="191"/>
        <v>0</v>
      </c>
      <c r="BQ175" s="212" t="e">
        <f>BM175/AS175</f>
        <v>#DIV/0!</v>
      </c>
      <c r="BR175" s="334" t="e">
        <f t="shared" si="192"/>
        <v>#DIV/0!</v>
      </c>
      <c r="BS175" s="333"/>
      <c r="BW175" s="329">
        <f t="shared" si="239"/>
        <v>0</v>
      </c>
      <c r="BX175" s="333"/>
      <c r="BY175" s="333"/>
      <c r="BZ175" s="333">
        <f t="shared" si="235"/>
        <v>0</v>
      </c>
      <c r="CA175" s="333">
        <f t="shared" si="205"/>
        <v>0</v>
      </c>
      <c r="CB175" s="212" t="e">
        <f t="shared" si="219"/>
        <v>#DIV/0!</v>
      </c>
      <c r="CC175" s="333"/>
      <c r="CD175" s="333"/>
      <c r="CE175" s="333"/>
      <c r="CF175" s="206">
        <f t="shared" si="236"/>
        <v>0</v>
      </c>
      <c r="CG175" s="333">
        <f t="shared" si="206"/>
        <v>0</v>
      </c>
      <c r="CH175" s="304" t="e">
        <f t="shared" si="207"/>
        <v>#DIV/0!</v>
      </c>
      <c r="CI175" s="333"/>
      <c r="CJ175" s="413"/>
      <c r="CK175" s="206">
        <f t="shared" si="220"/>
        <v>0</v>
      </c>
      <c r="CL175" s="206">
        <f t="shared" si="184"/>
        <v>0</v>
      </c>
      <c r="CM175" s="562" t="e">
        <f>CL175/CF175</f>
        <v>#DIV/0!</v>
      </c>
      <c r="CO175" s="206">
        <f t="shared" si="185"/>
        <v>0</v>
      </c>
      <c r="CP175" s="304" t="e">
        <f t="shared" si="186"/>
        <v>#DIV/0!</v>
      </c>
    </row>
    <row r="176" spans="1:94" s="65" customFormat="1" ht="18" customHeight="1" x14ac:dyDescent="0.25">
      <c r="A176" s="363" t="s">
        <v>282</v>
      </c>
      <c r="B176" s="352">
        <f t="shared" ref="B176:I176" si="240">SUM(B155:B175)</f>
        <v>790990</v>
      </c>
      <c r="C176" s="352">
        <f t="shared" si="240"/>
        <v>933649</v>
      </c>
      <c r="D176" s="619">
        <f>C176-B176</f>
        <v>142659</v>
      </c>
      <c r="E176" s="619">
        <f>(C176-B176)/B176</f>
        <v>0.18035499816685419</v>
      </c>
      <c r="F176" s="352">
        <f t="shared" si="240"/>
        <v>1043924</v>
      </c>
      <c r="G176" s="352">
        <f>F176-C176</f>
        <v>110275</v>
      </c>
      <c r="H176" s="352">
        <f>(F176-C176)/C176</f>
        <v>0.11811183860315815</v>
      </c>
      <c r="I176" s="352">
        <f t="shared" si="240"/>
        <v>1064742</v>
      </c>
      <c r="J176" s="352">
        <f>I176-F176</f>
        <v>20818</v>
      </c>
      <c r="K176" s="352">
        <f>(I176-F176)/F176</f>
        <v>1.9942064748008477E-2</v>
      </c>
      <c r="L176" s="352">
        <f>SUM(L155:L175)</f>
        <v>1091868</v>
      </c>
      <c r="M176" s="352">
        <v>-244746</v>
      </c>
      <c r="N176" s="352">
        <v>-0.17972453781216405</v>
      </c>
      <c r="O176" s="352">
        <f>SUM(O155:O175)-4306-34000</f>
        <v>1183582</v>
      </c>
      <c r="P176" s="352">
        <f>O176-L176</f>
        <v>91714</v>
      </c>
      <c r="Q176" s="352">
        <f>P176/L176</f>
        <v>8.399733301095004E-2</v>
      </c>
      <c r="R176" s="352">
        <f>SUM(R155:R175)</f>
        <v>1263548</v>
      </c>
      <c r="S176" s="352">
        <f t="shared" si="193"/>
        <v>79966</v>
      </c>
      <c r="T176" s="352">
        <f>S176/O176</f>
        <v>6.756270372479474E-2</v>
      </c>
      <c r="U176" s="352">
        <f>SUM(U155:U175)</f>
        <v>1467789</v>
      </c>
      <c r="V176" s="352">
        <f>SUM(V155:V175)</f>
        <v>204241</v>
      </c>
      <c r="W176" s="352">
        <f>SUM(W155:W175)</f>
        <v>1.9183177197114463</v>
      </c>
      <c r="X176" s="621">
        <f>SUM(X155:X175)</f>
        <v>1606978</v>
      </c>
      <c r="Y176" s="352">
        <f t="shared" si="229"/>
        <v>139189</v>
      </c>
      <c r="Z176" s="622">
        <f>Y176/U176</f>
        <v>9.4829025152797841E-2</v>
      </c>
      <c r="AA176" s="352">
        <f>SUM(AA155:AA175)</f>
        <v>1445377</v>
      </c>
      <c r="AB176" s="402">
        <f>AA176-X176</f>
        <v>-161601</v>
      </c>
      <c r="AC176" s="352">
        <f>AB176/X176</f>
        <v>-0.10056204876482441</v>
      </c>
      <c r="AD176" s="352">
        <f>SUM(AD155:AD175)</f>
        <v>1352453</v>
      </c>
      <c r="AE176" s="352">
        <f>SUM(AE155:AE175)</f>
        <v>57972</v>
      </c>
      <c r="AF176" s="352">
        <f>SUM(AF155:AF175)</f>
        <v>1471128</v>
      </c>
      <c r="AG176" s="352">
        <f>AF176-AA176</f>
        <v>25751</v>
      </c>
      <c r="AH176" s="352">
        <f>AG176/AA176</f>
        <v>1.7816113027950494E-2</v>
      </c>
      <c r="AI176" s="352">
        <f t="shared" ref="AI176:AO176" si="241">SUM(AI155:AI175)</f>
        <v>1385166</v>
      </c>
      <c r="AJ176" s="352">
        <f t="shared" si="241"/>
        <v>1524655</v>
      </c>
      <c r="AK176" s="352">
        <f t="shared" si="241"/>
        <v>1578032</v>
      </c>
      <c r="AL176" s="352">
        <f t="shared" si="241"/>
        <v>44836</v>
      </c>
      <c r="AM176" s="352">
        <f t="shared" si="241"/>
        <v>1622868</v>
      </c>
      <c r="AN176" s="352">
        <f t="shared" si="241"/>
        <v>1348335</v>
      </c>
      <c r="AO176" s="352">
        <f t="shared" si="241"/>
        <v>1449360</v>
      </c>
      <c r="AP176" s="352">
        <f>SUM(AP155:AP175)</f>
        <v>7651</v>
      </c>
      <c r="AQ176" s="352">
        <f>SUM(AQ155:AQ175)</f>
        <v>2995</v>
      </c>
      <c r="AR176" s="352">
        <f>SUM(AR155:AR175)</f>
        <v>10646</v>
      </c>
      <c r="AS176" s="352">
        <f>BB176+AR176</f>
        <v>1477284.8808900001</v>
      </c>
      <c r="AT176" s="352">
        <f t="shared" si="215"/>
        <v>6156.8808900001459</v>
      </c>
      <c r="AU176" s="352">
        <f t="shared" si="216"/>
        <v>4.1851428903536235E-3</v>
      </c>
      <c r="AV176" s="352">
        <f>SUM(AV155:AV175)</f>
        <v>-5043.1191099999705</v>
      </c>
      <c r="AW176" s="352">
        <f>AV176/AF176</f>
        <v>-3.4280627586450469E-3</v>
      </c>
      <c r="AX176" s="352">
        <f>SUM(AX155:AX175)</f>
        <v>1583285</v>
      </c>
      <c r="AY176" s="352">
        <f t="shared" si="197"/>
        <v>112157</v>
      </c>
      <c r="AZ176" s="352">
        <f t="shared" si="198"/>
        <v>7.6238777319172765E-2</v>
      </c>
      <c r="BA176" s="352"/>
      <c r="BB176" s="352">
        <f>SUM(BB155:BB175)</f>
        <v>1466638.8808900001</v>
      </c>
      <c r="BC176" s="352"/>
      <c r="BD176" s="352"/>
      <c r="BE176" s="352">
        <f>SUM(BE155:BE175)</f>
        <v>1611116</v>
      </c>
      <c r="BF176" s="352">
        <f>BE176-AX176</f>
        <v>27831</v>
      </c>
      <c r="BG176" s="352">
        <f>BF176/AX176</f>
        <v>1.7578010276103166E-2</v>
      </c>
      <c r="BH176" s="352">
        <f>SUM(BH155:BH175)</f>
        <v>16280</v>
      </c>
      <c r="BI176" s="352"/>
      <c r="BJ176" s="352"/>
      <c r="BK176" s="352">
        <f>SUM(BK155:BK175)</f>
        <v>426</v>
      </c>
      <c r="BL176" s="352">
        <f t="shared" si="201"/>
        <v>1627822</v>
      </c>
      <c r="BM176" s="352">
        <f>BL176-AS176</f>
        <v>150537.11910999985</v>
      </c>
      <c r="BN176" s="352">
        <f>SUM(BN155:BN175)</f>
        <v>1646039</v>
      </c>
      <c r="BO176" s="352">
        <f>SUM(BO155:BO175)</f>
        <v>1653665</v>
      </c>
      <c r="BP176" s="352">
        <f t="shared" si="191"/>
        <v>42549</v>
      </c>
      <c r="BQ176" s="352">
        <f>BM176/AS176</f>
        <v>0.10190121151128803</v>
      </c>
      <c r="BR176" s="352">
        <f t="shared" si="192"/>
        <v>2.6409643998321661E-2</v>
      </c>
      <c r="BS176" s="352"/>
      <c r="BT176" s="352"/>
      <c r="BU176" s="352"/>
      <c r="BV176" s="352"/>
      <c r="BW176" s="352">
        <f>BW155+BW156+BW157+BW158+BW159+BW160+BW161+BW162+BW163+BW164+BW165+BW166+BW167+BW168+BW169+BW170+BW171+BW172+BW174+BW175</f>
        <v>1724053</v>
      </c>
      <c r="BX176" s="352">
        <f>SUM(BX155:BX175)</f>
        <v>1653665</v>
      </c>
      <c r="BY176" s="352"/>
      <c r="BZ176" s="352">
        <f>SUM(BZ155:BZ175)</f>
        <v>1664503</v>
      </c>
      <c r="CA176" s="352">
        <f t="shared" si="205"/>
        <v>53387</v>
      </c>
      <c r="CB176" s="339">
        <f t="shared" si="219"/>
        <v>3.3136658068072068E-2</v>
      </c>
      <c r="CC176" s="352">
        <f>SUM(CC155:CC175)</f>
        <v>1750564</v>
      </c>
      <c r="CD176" s="352">
        <f>SUM(CD155:CD175)</f>
        <v>1760574</v>
      </c>
      <c r="CE176" s="352">
        <f>SUM(CE155:CE175)</f>
        <v>1905</v>
      </c>
      <c r="CF176" s="600">
        <f>CD176+CE176</f>
        <v>1762479</v>
      </c>
      <c r="CG176" s="368">
        <f t="shared" si="206"/>
        <v>97976</v>
      </c>
      <c r="CH176" s="601">
        <f t="shared" si="207"/>
        <v>5.8862014667441273E-2</v>
      </c>
      <c r="CI176" s="368">
        <f t="shared" ref="CI176:CK176" si="242">SUM(CI155:CI175)</f>
        <v>1910880.1</v>
      </c>
      <c r="CJ176" s="368"/>
      <c r="CK176" s="368">
        <f>SUM(CK155:CK175)</f>
        <v>1886830.1</v>
      </c>
      <c r="CL176" s="368">
        <f t="shared" si="184"/>
        <v>124351.10000000009</v>
      </c>
      <c r="CM176" s="602">
        <f>CL176/CF176</f>
        <v>7.0554656254060391E-2</v>
      </c>
      <c r="CN176" s="368">
        <f t="shared" ref="CN176" si="243">SUM(CN155:CN175)</f>
        <v>1904219</v>
      </c>
      <c r="CO176" s="368">
        <f t="shared" si="185"/>
        <v>17388.899999999907</v>
      </c>
      <c r="CP176" s="356">
        <f t="shared" si="186"/>
        <v>9.2159331144865166E-3</v>
      </c>
    </row>
    <row r="177" spans="1:94" s="65" customFormat="1" ht="18" customHeight="1" x14ac:dyDescent="0.25">
      <c r="A177" s="363"/>
      <c r="D177" s="416"/>
      <c r="E177" s="563"/>
      <c r="G177" s="204"/>
      <c r="H177" s="199"/>
      <c r="J177" s="204"/>
      <c r="K177" s="199"/>
      <c r="L177" s="358"/>
      <c r="M177" s="358"/>
      <c r="N177" s="356"/>
      <c r="O177" s="358"/>
      <c r="P177" s="358"/>
      <c r="Q177" s="356"/>
      <c r="R177" s="358"/>
      <c r="S177" s="358"/>
      <c r="T177" s="356"/>
      <c r="U177" s="358"/>
      <c r="V177" s="358"/>
      <c r="W177" s="356"/>
      <c r="X177" s="364"/>
      <c r="Y177" s="358"/>
      <c r="Z177" s="605"/>
      <c r="AA177" s="358"/>
      <c r="AB177" s="366"/>
      <c r="AC177" s="367"/>
      <c r="AD177" s="204"/>
      <c r="AF177" s="204"/>
      <c r="AG177" s="204"/>
      <c r="AH177" s="304"/>
      <c r="AI177" s="365"/>
      <c r="AJ177" s="365"/>
      <c r="AK177" s="365"/>
      <c r="AL177" s="365"/>
      <c r="AM177" s="204"/>
      <c r="AR177" s="365"/>
      <c r="AS177" s="365"/>
      <c r="AT177" s="365"/>
      <c r="AU177" s="205"/>
      <c r="AV177" s="365"/>
      <c r="AW177" s="205"/>
      <c r="AX177" s="358"/>
      <c r="AY177" s="204"/>
      <c r="AZ177" s="304"/>
      <c r="BA177" s="304"/>
      <c r="BB177" s="304"/>
      <c r="BC177" s="304"/>
      <c r="BD177" s="304"/>
      <c r="BE177" s="358"/>
      <c r="BF177" s="204"/>
      <c r="BG177" s="304"/>
      <c r="BH177" s="200"/>
      <c r="BI177" s="200"/>
      <c r="BJ177" s="200"/>
      <c r="BK177" s="200"/>
      <c r="BL177" s="206"/>
      <c r="BM177" s="206"/>
      <c r="BN177" s="206"/>
      <c r="BO177" s="206"/>
      <c r="BP177" s="206"/>
      <c r="BQ177" s="199"/>
      <c r="BR177" s="205"/>
      <c r="BS177" s="368"/>
      <c r="BW177" s="207"/>
      <c r="BX177" s="206"/>
      <c r="BY177" s="206"/>
      <c r="BZ177" s="206"/>
      <c r="CA177" s="206"/>
      <c r="CB177" s="199"/>
      <c r="CC177" s="368"/>
      <c r="CD177" s="368"/>
      <c r="CE177" s="368"/>
      <c r="CF177" s="368"/>
      <c r="CG177" s="206"/>
      <c r="CH177" s="356"/>
      <c r="CI177" s="368"/>
      <c r="CJ177" s="368"/>
      <c r="CK177" s="368">
        <f>CK176+CK65+CK66+CK79+33578+23465</f>
        <v>2079108.1</v>
      </c>
      <c r="CL177" s="206"/>
      <c r="CM177" s="356"/>
      <c r="CN177" s="368">
        <f>CN176+CN65+CN66+CN79+33484+24169</f>
        <v>2159301</v>
      </c>
      <c r="CO177" s="206">
        <f t="shared" si="185"/>
        <v>80192.899999999907</v>
      </c>
      <c r="CP177" s="304">
        <f t="shared" si="186"/>
        <v>3.8570817938711269E-2</v>
      </c>
    </row>
    <row r="178" spans="1:94" s="65" customFormat="1" ht="18" customHeight="1" x14ac:dyDescent="0.25">
      <c r="A178" s="363"/>
      <c r="D178" s="416"/>
      <c r="E178" s="563"/>
      <c r="G178" s="204"/>
      <c r="H178" s="199"/>
      <c r="J178" s="204"/>
      <c r="K178" s="199"/>
      <c r="L178" s="358"/>
      <c r="M178" s="358"/>
      <c r="N178" s="356"/>
      <c r="O178" s="358"/>
      <c r="P178" s="358"/>
      <c r="Q178" s="356"/>
      <c r="R178" s="358"/>
      <c r="S178" s="358"/>
      <c r="T178" s="356"/>
      <c r="U178" s="358"/>
      <c r="V178" s="358"/>
      <c r="W178" s="356"/>
      <c r="X178" s="364"/>
      <c r="Y178" s="358"/>
      <c r="Z178" s="605"/>
      <c r="AA178" s="358"/>
      <c r="AB178" s="366"/>
      <c r="AC178" s="367"/>
      <c r="AD178" s="204">
        <f>+AD177+AD176</f>
        <v>1352453</v>
      </c>
      <c r="AE178" s="365"/>
      <c r="AF178" s="204"/>
      <c r="AG178" s="204"/>
      <c r="AH178" s="304"/>
      <c r="AI178" s="365"/>
      <c r="AJ178" s="365"/>
      <c r="AK178" s="365"/>
      <c r="AL178" s="365"/>
      <c r="AM178" s="204"/>
      <c r="AR178" s="365"/>
      <c r="AS178" s="365"/>
      <c r="AT178" s="365"/>
      <c r="AU178" s="205"/>
      <c r="AV178" s="365">
        <f>AS176-AF178</f>
        <v>1477284.8808900001</v>
      </c>
      <c r="AW178" s="205" t="e">
        <f>AV178/AF178</f>
        <v>#DIV/0!</v>
      </c>
      <c r="AX178" s="358"/>
      <c r="AY178" s="204"/>
      <c r="AZ178" s="304"/>
      <c r="BA178" s="304"/>
      <c r="BB178" s="304"/>
      <c r="BC178" s="304"/>
      <c r="BD178" s="304"/>
      <c r="BE178" s="358"/>
      <c r="BF178" s="204"/>
      <c r="BG178" s="304"/>
      <c r="BH178" s="200"/>
      <c r="BI178" s="200"/>
      <c r="BJ178" s="200"/>
      <c r="BK178" s="200"/>
      <c r="BL178" s="206"/>
      <c r="BM178" s="206"/>
      <c r="BN178" s="206">
        <f>+BN176+920</f>
        <v>1646959</v>
      </c>
      <c r="BO178" s="206">
        <f>BO176-920</f>
        <v>1652745</v>
      </c>
      <c r="BP178" s="206">
        <f t="shared" si="191"/>
        <v>1652745</v>
      </c>
      <c r="BQ178" s="199"/>
      <c r="BR178" s="205" t="e">
        <f t="shared" si="192"/>
        <v>#DIV/0!</v>
      </c>
      <c r="BS178" s="368"/>
      <c r="BW178" s="207">
        <f t="shared" ref="BW178:BW187" si="244">BN178+BS178+BT178+BU178+BV178</f>
        <v>1646959</v>
      </c>
      <c r="BX178" s="206"/>
      <c r="BY178" s="206"/>
      <c r="BZ178" s="206"/>
      <c r="CA178" s="206"/>
      <c r="CB178" s="199"/>
      <c r="CC178" s="368"/>
      <c r="CD178" s="368"/>
      <c r="CE178" s="368"/>
      <c r="CF178" s="368"/>
      <c r="CG178" s="206"/>
      <c r="CH178" s="356"/>
      <c r="CL178" s="206"/>
      <c r="CM178" s="356"/>
      <c r="CO178" s="206"/>
      <c r="CP178" s="206"/>
    </row>
    <row r="179" spans="1:94" s="65" customFormat="1" ht="18" customHeight="1" x14ac:dyDescent="0.25">
      <c r="A179" s="363"/>
      <c r="D179" s="416"/>
      <c r="E179" s="563"/>
      <c r="G179" s="204"/>
      <c r="H179" s="199"/>
      <c r="J179" s="204"/>
      <c r="K179" s="199"/>
      <c r="L179" s="358"/>
      <c r="M179" s="358"/>
      <c r="N179" s="356"/>
      <c r="O179" s="358"/>
      <c r="P179" s="358"/>
      <c r="Q179" s="356"/>
      <c r="R179" s="358"/>
      <c r="S179" s="204"/>
      <c r="T179" s="304"/>
      <c r="U179" s="204"/>
      <c r="V179" s="204"/>
      <c r="W179" s="304"/>
      <c r="X179" s="403"/>
      <c r="Y179" s="404"/>
      <c r="Z179" s="605"/>
      <c r="AA179" s="203"/>
      <c r="AB179" s="374"/>
      <c r="AC179" s="367"/>
      <c r="AD179" s="65">
        <v>37920</v>
      </c>
      <c r="AE179" s="65" t="s">
        <v>283</v>
      </c>
      <c r="AF179" s="358"/>
      <c r="AG179" s="358"/>
      <c r="AX179" s="358"/>
      <c r="AY179" s="204"/>
      <c r="AZ179" s="304"/>
      <c r="BA179" s="304"/>
      <c r="BB179" s="304"/>
      <c r="BC179" s="304"/>
      <c r="BD179" s="304"/>
      <c r="BE179" s="367"/>
      <c r="BF179" s="204"/>
      <c r="BG179" s="304"/>
      <c r="BH179" s="200"/>
      <c r="BI179" s="200"/>
      <c r="BJ179" s="200"/>
      <c r="BK179" s="200"/>
      <c r="BL179" s="206"/>
      <c r="BM179" s="206"/>
      <c r="BN179" s="206"/>
      <c r="BO179" s="206"/>
      <c r="BP179" s="206">
        <f t="shared" si="191"/>
        <v>0</v>
      </c>
      <c r="BQ179" s="199"/>
      <c r="BR179" s="205" t="e">
        <f t="shared" si="192"/>
        <v>#DIV/0!</v>
      </c>
      <c r="BS179" s="368"/>
      <c r="BW179" s="207">
        <f t="shared" si="244"/>
        <v>0</v>
      </c>
      <c r="BX179" s="206"/>
      <c r="BY179" s="206"/>
      <c r="BZ179" s="206"/>
      <c r="CA179" s="206"/>
      <c r="CB179" s="199"/>
      <c r="CC179" s="368"/>
      <c r="CD179" s="368"/>
      <c r="CE179" s="368"/>
      <c r="CF179" s="368"/>
      <c r="CG179" s="206"/>
      <c r="CH179" s="356"/>
      <c r="CL179" s="206"/>
      <c r="CM179" s="356"/>
      <c r="CO179" s="206"/>
      <c r="CP179" s="206"/>
    </row>
    <row r="180" spans="1:94" s="65" customFormat="1" ht="18" customHeight="1" x14ac:dyDescent="0.25">
      <c r="A180" s="373" t="s">
        <v>284</v>
      </c>
      <c r="D180" s="416"/>
      <c r="E180" s="563"/>
      <c r="G180" s="204"/>
      <c r="H180" s="199"/>
      <c r="J180" s="204"/>
      <c r="K180" s="199"/>
      <c r="L180" s="358"/>
      <c r="M180" s="358"/>
      <c r="N180" s="356"/>
      <c r="O180" s="358"/>
      <c r="P180" s="358"/>
      <c r="Q180" s="356"/>
      <c r="R180" s="358"/>
      <c r="S180" s="204"/>
      <c r="T180" s="304"/>
      <c r="U180" s="204"/>
      <c r="V180" s="204"/>
      <c r="W180" s="304"/>
      <c r="X180" s="403"/>
      <c r="Y180" s="404"/>
      <c r="Z180" s="605"/>
      <c r="AA180" s="203"/>
      <c r="AB180" s="374"/>
      <c r="AC180" s="367"/>
      <c r="AF180" s="358"/>
      <c r="AG180" s="358"/>
      <c r="AX180" s="358"/>
      <c r="AY180" s="204"/>
      <c r="AZ180" s="304"/>
      <c r="BA180" s="304"/>
      <c r="BB180" s="304"/>
      <c r="BC180" s="304"/>
      <c r="BD180" s="304"/>
      <c r="BE180" s="358"/>
      <c r="BF180" s="204"/>
      <c r="BG180" s="304"/>
      <c r="BH180" s="200"/>
      <c r="BI180" s="200"/>
      <c r="BJ180" s="200"/>
      <c r="BK180" s="200"/>
      <c r="BL180" s="206"/>
      <c r="BM180" s="206"/>
      <c r="BN180" s="206"/>
      <c r="BO180" s="206"/>
      <c r="BP180" s="206">
        <f t="shared" si="191"/>
        <v>0</v>
      </c>
      <c r="BQ180" s="199"/>
      <c r="BR180" s="205" t="e">
        <f t="shared" si="192"/>
        <v>#DIV/0!</v>
      </c>
      <c r="BS180" s="368"/>
      <c r="BW180" s="207">
        <f t="shared" si="244"/>
        <v>0</v>
      </c>
      <c r="BX180" s="206"/>
      <c r="BY180" s="206"/>
      <c r="BZ180" s="206"/>
      <c r="CA180" s="206"/>
      <c r="CB180" s="199"/>
      <c r="CC180" s="368"/>
      <c r="CD180" s="368"/>
      <c r="CE180" s="368"/>
      <c r="CF180" s="368"/>
      <c r="CG180" s="206"/>
      <c r="CH180" s="356"/>
      <c r="CL180" s="206"/>
      <c r="CM180" s="356"/>
      <c r="CO180" s="206"/>
      <c r="CP180" s="206"/>
    </row>
    <row r="181" spans="1:94" s="65" customFormat="1" ht="18" customHeight="1" x14ac:dyDescent="0.25">
      <c r="A181" s="373"/>
      <c r="D181" s="416"/>
      <c r="E181" s="563"/>
      <c r="G181" s="204"/>
      <c r="H181" s="199"/>
      <c r="J181" s="204"/>
      <c r="K181" s="199"/>
      <c r="L181" s="358"/>
      <c r="M181" s="358"/>
      <c r="N181" s="356"/>
      <c r="O181" s="358"/>
      <c r="P181" s="358"/>
      <c r="Q181" s="356"/>
      <c r="R181" s="358"/>
      <c r="S181" s="204"/>
      <c r="T181" s="304"/>
      <c r="U181" s="204"/>
      <c r="V181" s="204"/>
      <c r="W181" s="304"/>
      <c r="X181" s="403"/>
      <c r="Y181" s="404"/>
      <c r="Z181" s="605"/>
      <c r="AA181" s="203"/>
      <c r="AB181" s="374"/>
      <c r="AC181" s="367"/>
      <c r="AF181" s="358"/>
      <c r="AG181" s="358"/>
      <c r="AX181" s="358"/>
      <c r="AY181" s="204"/>
      <c r="AZ181" s="304"/>
      <c r="BA181" s="304"/>
      <c r="BB181" s="304"/>
      <c r="BC181" s="304"/>
      <c r="BD181" s="304"/>
      <c r="BE181" s="358"/>
      <c r="BF181" s="204"/>
      <c r="BG181" s="304"/>
      <c r="BH181" s="200"/>
      <c r="BI181" s="200"/>
      <c r="BJ181" s="200"/>
      <c r="BK181" s="200"/>
      <c r="BL181" s="206"/>
      <c r="BM181" s="206"/>
      <c r="BN181" s="206"/>
      <c r="BO181" s="206"/>
      <c r="BP181" s="206">
        <f t="shared" si="191"/>
        <v>0</v>
      </c>
      <c r="BQ181" s="199"/>
      <c r="BR181" s="205" t="e">
        <f t="shared" si="192"/>
        <v>#DIV/0!</v>
      </c>
      <c r="BS181" s="368"/>
      <c r="BW181" s="207">
        <f t="shared" si="244"/>
        <v>0</v>
      </c>
      <c r="BX181" s="206"/>
      <c r="BY181" s="206"/>
      <c r="BZ181" s="206"/>
      <c r="CA181" s="206"/>
      <c r="CB181" s="199"/>
      <c r="CC181" s="368"/>
      <c r="CD181" s="368"/>
      <c r="CE181" s="368"/>
      <c r="CF181" s="368"/>
      <c r="CG181" s="206"/>
      <c r="CH181" s="356"/>
      <c r="CL181" s="206"/>
      <c r="CM181" s="356"/>
      <c r="CO181" s="206"/>
      <c r="CP181" s="206"/>
    </row>
    <row r="182" spans="1:94" s="65" customFormat="1" ht="18" customHeight="1" x14ac:dyDescent="0.25">
      <c r="A182" s="65" t="s">
        <v>285</v>
      </c>
      <c r="D182" s="416"/>
      <c r="E182" s="563"/>
      <c r="G182" s="204"/>
      <c r="H182" s="199"/>
      <c r="J182" s="204"/>
      <c r="K182" s="199"/>
      <c r="L182" s="358"/>
      <c r="M182" s="358"/>
      <c r="N182" s="356"/>
      <c r="O182" s="358"/>
      <c r="P182" s="358"/>
      <c r="Q182" s="356"/>
      <c r="R182" s="358"/>
      <c r="S182" s="204"/>
      <c r="T182" s="304"/>
      <c r="U182" s="204"/>
      <c r="V182" s="204"/>
      <c r="W182" s="304"/>
      <c r="X182" s="403"/>
      <c r="Y182" s="404"/>
      <c r="Z182" s="605"/>
      <c r="AA182" s="203"/>
      <c r="AB182" s="374"/>
      <c r="AC182" s="367"/>
      <c r="AF182" s="358"/>
      <c r="AG182" s="358"/>
      <c r="AX182" s="358"/>
      <c r="AY182" s="204"/>
      <c r="AZ182" s="304"/>
      <c r="BA182" s="304"/>
      <c r="BB182" s="304"/>
      <c r="BC182" s="304"/>
      <c r="BD182" s="304"/>
      <c r="BE182" s="358"/>
      <c r="BF182" s="204"/>
      <c r="BG182" s="304"/>
      <c r="BH182" s="200"/>
      <c r="BI182" s="200"/>
      <c r="BJ182" s="200"/>
      <c r="BK182" s="200"/>
      <c r="BL182" s="206"/>
      <c r="BM182" s="206"/>
      <c r="BN182" s="206"/>
      <c r="BO182" s="206"/>
      <c r="BP182" s="206">
        <f t="shared" si="191"/>
        <v>0</v>
      </c>
      <c r="BQ182" s="199"/>
      <c r="BR182" s="205" t="e">
        <f t="shared" si="192"/>
        <v>#DIV/0!</v>
      </c>
      <c r="BS182" s="368"/>
      <c r="BW182" s="207">
        <f t="shared" si="244"/>
        <v>0</v>
      </c>
      <c r="BX182" s="206"/>
      <c r="BY182" s="206"/>
      <c r="BZ182" s="206"/>
      <c r="CA182" s="206"/>
      <c r="CB182" s="199"/>
      <c r="CC182" s="368"/>
      <c r="CD182" s="368"/>
      <c r="CE182" s="368"/>
      <c r="CF182" s="368"/>
      <c r="CG182" s="206"/>
      <c r="CH182" s="356"/>
      <c r="CL182" s="206"/>
      <c r="CM182" s="356"/>
      <c r="CO182" s="206"/>
      <c r="CP182" s="206"/>
    </row>
    <row r="183" spans="1:94" s="65" customFormat="1" ht="18" customHeight="1" x14ac:dyDescent="0.25">
      <c r="A183" s="373" t="s">
        <v>286</v>
      </c>
      <c r="D183" s="416"/>
      <c r="E183" s="563"/>
      <c r="G183" s="204"/>
      <c r="H183" s="199"/>
      <c r="J183" s="204"/>
      <c r="K183" s="199"/>
      <c r="L183" s="358"/>
      <c r="M183" s="358"/>
      <c r="N183" s="356"/>
      <c r="O183" s="358"/>
      <c r="P183" s="358"/>
      <c r="Q183" s="356"/>
      <c r="R183" s="358"/>
      <c r="S183" s="204"/>
      <c r="T183" s="304"/>
      <c r="U183" s="204"/>
      <c r="V183" s="204"/>
      <c r="W183" s="304"/>
      <c r="X183" s="403"/>
      <c r="Y183" s="404"/>
      <c r="Z183" s="605"/>
      <c r="AA183" s="203"/>
      <c r="AB183" s="374"/>
      <c r="AC183" s="367"/>
      <c r="AF183" s="358"/>
      <c r="AG183" s="358"/>
      <c r="AX183" s="358"/>
      <c r="AY183" s="204"/>
      <c r="AZ183" s="304"/>
      <c r="BA183" s="304"/>
      <c r="BB183" s="304"/>
      <c r="BC183" s="304"/>
      <c r="BD183" s="304"/>
      <c r="BE183" s="358"/>
      <c r="BF183" s="204"/>
      <c r="BG183" s="304"/>
      <c r="BH183" s="200"/>
      <c r="BI183" s="200"/>
      <c r="BJ183" s="200"/>
      <c r="BK183" s="200"/>
      <c r="BL183" s="206"/>
      <c r="BM183" s="206"/>
      <c r="BN183" s="206"/>
      <c r="BO183" s="206"/>
      <c r="BP183" s="206">
        <f t="shared" si="191"/>
        <v>0</v>
      </c>
      <c r="BQ183" s="199"/>
      <c r="BR183" s="205" t="e">
        <f t="shared" si="192"/>
        <v>#DIV/0!</v>
      </c>
      <c r="BS183" s="368"/>
      <c r="BW183" s="207">
        <f t="shared" si="244"/>
        <v>0</v>
      </c>
      <c r="BX183" s="206"/>
      <c r="BY183" s="206"/>
      <c r="BZ183" s="206"/>
      <c r="CA183" s="206"/>
      <c r="CB183" s="199"/>
      <c r="CC183" s="368"/>
      <c r="CD183" s="368"/>
      <c r="CE183" s="368"/>
      <c r="CF183" s="368"/>
      <c r="CG183" s="206"/>
      <c r="CH183" s="356"/>
      <c r="CL183" s="206"/>
      <c r="CM183" s="356"/>
      <c r="CO183" s="206"/>
      <c r="CP183" s="206"/>
    </row>
    <row r="184" spans="1:94" s="65" customFormat="1" ht="18" customHeight="1" x14ac:dyDescent="0.25">
      <c r="A184" s="373" t="s">
        <v>287</v>
      </c>
      <c r="D184" s="416"/>
      <c r="E184" s="563"/>
      <c r="G184" s="204"/>
      <c r="H184" s="199"/>
      <c r="J184" s="204"/>
      <c r="K184" s="199"/>
      <c r="L184" s="358"/>
      <c r="M184" s="358"/>
      <c r="N184" s="356"/>
      <c r="O184" s="358"/>
      <c r="P184" s="358"/>
      <c r="Q184" s="356"/>
      <c r="R184" s="358"/>
      <c r="S184" s="204"/>
      <c r="T184" s="304"/>
      <c r="U184" s="204"/>
      <c r="V184" s="204"/>
      <c r="W184" s="304"/>
      <c r="X184" s="403"/>
      <c r="Y184" s="404"/>
      <c r="Z184" s="605"/>
      <c r="AA184" s="203"/>
      <c r="AB184" s="374"/>
      <c r="AC184" s="367"/>
      <c r="AF184" s="358"/>
      <c r="AG184" s="358"/>
      <c r="AX184" s="358"/>
      <c r="AY184" s="204"/>
      <c r="AZ184" s="304"/>
      <c r="BA184" s="304"/>
      <c r="BB184" s="304"/>
      <c r="BC184" s="304"/>
      <c r="BD184" s="304"/>
      <c r="BE184" s="358"/>
      <c r="BF184" s="204"/>
      <c r="BG184" s="304"/>
      <c r="BH184" s="200"/>
      <c r="BI184" s="200"/>
      <c r="BJ184" s="200"/>
      <c r="BK184" s="200"/>
      <c r="BL184" s="206"/>
      <c r="BM184" s="206"/>
      <c r="BN184" s="206"/>
      <c r="BO184" s="206"/>
      <c r="BP184" s="206">
        <f t="shared" si="191"/>
        <v>0</v>
      </c>
      <c r="BQ184" s="199"/>
      <c r="BR184" s="205" t="e">
        <f t="shared" si="192"/>
        <v>#DIV/0!</v>
      </c>
      <c r="BS184" s="368"/>
      <c r="BW184" s="207">
        <f t="shared" si="244"/>
        <v>0</v>
      </c>
      <c r="BX184" s="206"/>
      <c r="BY184" s="206"/>
      <c r="BZ184" s="206"/>
      <c r="CA184" s="206"/>
      <c r="CB184" s="199"/>
      <c r="CC184" s="368"/>
      <c r="CD184" s="368"/>
      <c r="CE184" s="368"/>
      <c r="CF184" s="368"/>
      <c r="CG184" s="206"/>
      <c r="CH184" s="356"/>
      <c r="CL184" s="206"/>
      <c r="CM184" s="356"/>
      <c r="CO184" s="206"/>
      <c r="CP184" s="206"/>
    </row>
    <row r="185" spans="1:94" s="65" customFormat="1" ht="18" customHeight="1" x14ac:dyDescent="0.25">
      <c r="A185" s="373" t="s">
        <v>288</v>
      </c>
      <c r="D185" s="416"/>
      <c r="E185" s="563"/>
      <c r="G185" s="204"/>
      <c r="H185" s="199"/>
      <c r="J185" s="204"/>
      <c r="K185" s="199"/>
      <c r="L185" s="358"/>
      <c r="M185" s="358"/>
      <c r="N185" s="356"/>
      <c r="O185" s="358"/>
      <c r="P185" s="358"/>
      <c r="Q185" s="356"/>
      <c r="R185" s="358"/>
      <c r="S185" s="204"/>
      <c r="T185" s="304"/>
      <c r="U185" s="204"/>
      <c r="V185" s="204"/>
      <c r="W185" s="304"/>
      <c r="X185" s="403"/>
      <c r="Y185" s="404"/>
      <c r="Z185" s="605"/>
      <c r="AA185" s="203"/>
      <c r="AB185" s="374"/>
      <c r="AC185" s="367"/>
      <c r="AF185" s="358"/>
      <c r="AG185" s="358"/>
      <c r="AX185" s="358"/>
      <c r="AY185" s="204"/>
      <c r="AZ185" s="304"/>
      <c r="BA185" s="304"/>
      <c r="BB185" s="304"/>
      <c r="BC185" s="304"/>
      <c r="BD185" s="304"/>
      <c r="BE185" s="358"/>
      <c r="BF185" s="204"/>
      <c r="BG185" s="304"/>
      <c r="BH185" s="200"/>
      <c r="BI185" s="200"/>
      <c r="BJ185" s="200"/>
      <c r="BK185" s="200"/>
      <c r="BL185" s="206"/>
      <c r="BM185" s="206"/>
      <c r="BN185" s="206"/>
      <c r="BO185" s="206"/>
      <c r="BP185" s="206">
        <f t="shared" si="191"/>
        <v>0</v>
      </c>
      <c r="BQ185" s="199"/>
      <c r="BR185" s="205" t="e">
        <f t="shared" si="192"/>
        <v>#DIV/0!</v>
      </c>
      <c r="BS185" s="368"/>
      <c r="BW185" s="207">
        <f t="shared" si="244"/>
        <v>0</v>
      </c>
      <c r="BX185" s="206"/>
      <c r="BY185" s="206"/>
      <c r="BZ185" s="206"/>
      <c r="CA185" s="206"/>
      <c r="CB185" s="199"/>
      <c r="CC185" s="368"/>
      <c r="CD185" s="368"/>
      <c r="CE185" s="368"/>
      <c r="CF185" s="368"/>
      <c r="CG185" s="206"/>
      <c r="CH185" s="356"/>
      <c r="CL185" s="206"/>
      <c r="CM185" s="356"/>
      <c r="CO185" s="206"/>
      <c r="CP185" s="206"/>
    </row>
    <row r="186" spans="1:94" ht="18" customHeight="1" x14ac:dyDescent="0.25">
      <c r="A186" s="373" t="s">
        <v>289</v>
      </c>
      <c r="D186" s="416"/>
      <c r="E186" s="563"/>
      <c r="G186" s="204"/>
      <c r="J186" s="204"/>
      <c r="L186" s="317"/>
      <c r="M186" s="317"/>
      <c r="N186" s="316"/>
      <c r="O186" s="317"/>
      <c r="P186" s="317"/>
      <c r="Q186" s="316"/>
      <c r="R186" s="204"/>
      <c r="S186" s="204"/>
      <c r="T186" s="304"/>
      <c r="U186" s="204"/>
      <c r="V186" s="204"/>
      <c r="W186" s="304"/>
      <c r="AB186" s="374"/>
      <c r="BH186" s="200"/>
      <c r="BI186" s="200"/>
      <c r="BJ186" s="200"/>
      <c r="BK186" s="200"/>
      <c r="BL186" s="206"/>
      <c r="BM186" s="206"/>
      <c r="BN186" s="206"/>
      <c r="BO186" s="206"/>
      <c r="BP186" s="206">
        <f t="shared" si="191"/>
        <v>0</v>
      </c>
      <c r="BQ186" s="199"/>
      <c r="BR186" s="205" t="e">
        <f t="shared" si="192"/>
        <v>#DIV/0!</v>
      </c>
      <c r="BW186" s="207">
        <f t="shared" si="244"/>
        <v>0</v>
      </c>
      <c r="BX186" s="206"/>
      <c r="BY186" s="206"/>
      <c r="BZ186" s="206"/>
      <c r="CA186" s="206"/>
      <c r="CB186" s="199"/>
      <c r="CC186" s="206"/>
      <c r="CD186" s="206"/>
      <c r="CE186" s="206"/>
      <c r="CF186" s="206"/>
      <c r="CG186" s="206"/>
      <c r="CH186" s="304"/>
      <c r="CL186" s="206"/>
      <c r="CM186" s="304"/>
      <c r="CO186" s="206"/>
      <c r="CP186" s="206"/>
    </row>
    <row r="187" spans="1:94" ht="18" customHeight="1" x14ac:dyDescent="0.25">
      <c r="A187" s="373" t="s">
        <v>290</v>
      </c>
      <c r="D187" s="416"/>
      <c r="E187" s="563"/>
      <c r="G187" s="204"/>
      <c r="J187" s="204"/>
      <c r="L187" s="317"/>
      <c r="M187" s="317"/>
      <c r="N187" s="316"/>
      <c r="O187" s="317"/>
      <c r="P187" s="317"/>
      <c r="Q187" s="316"/>
      <c r="R187" s="204"/>
      <c r="S187" s="204"/>
      <c r="T187" s="304"/>
      <c r="U187" s="204"/>
      <c r="V187" s="204"/>
      <c r="W187" s="304"/>
      <c r="AB187" s="374"/>
      <c r="BH187" s="200"/>
      <c r="BI187" s="200"/>
      <c r="BJ187" s="200"/>
      <c r="BK187" s="200"/>
      <c r="BL187" s="206"/>
      <c r="BM187" s="206"/>
      <c r="BN187" s="206"/>
      <c r="BO187" s="206"/>
      <c r="BP187" s="206">
        <f t="shared" si="191"/>
        <v>0</v>
      </c>
      <c r="BQ187" s="199"/>
      <c r="BR187" s="205" t="e">
        <f t="shared" si="192"/>
        <v>#DIV/0!</v>
      </c>
      <c r="BW187" s="207">
        <f t="shared" si="244"/>
        <v>0</v>
      </c>
      <c r="BX187" s="206"/>
      <c r="BY187" s="206"/>
      <c r="BZ187" s="206"/>
      <c r="CA187" s="206"/>
      <c r="CB187" s="199"/>
      <c r="CC187" s="206"/>
      <c r="CD187" s="206"/>
      <c r="CE187" s="206"/>
      <c r="CF187" s="206"/>
      <c r="CG187" s="206"/>
      <c r="CH187" s="304"/>
      <c r="CL187" s="206"/>
      <c r="CM187" s="304"/>
      <c r="CO187" s="206"/>
      <c r="CP187" s="206"/>
    </row>
    <row r="188" spans="1:94" ht="18" customHeight="1" x14ac:dyDescent="0.25">
      <c r="A188" s="373" t="s">
        <v>291</v>
      </c>
      <c r="D188" s="416"/>
      <c r="E188" s="563"/>
      <c r="G188" s="204"/>
      <c r="J188" s="204"/>
      <c r="L188" s="317"/>
      <c r="M188" s="317"/>
      <c r="N188" s="316"/>
      <c r="O188" s="317"/>
      <c r="P188" s="317"/>
      <c r="Q188" s="316"/>
      <c r="R188" s="204"/>
      <c r="S188" s="204"/>
      <c r="T188" s="304"/>
      <c r="U188" s="204"/>
      <c r="V188" s="204"/>
      <c r="W188" s="304"/>
      <c r="AB188" s="374"/>
      <c r="BH188" s="200"/>
      <c r="BI188" s="200"/>
      <c r="BJ188" s="200"/>
      <c r="BK188" s="200"/>
      <c r="BL188" s="206"/>
      <c r="BM188" s="206"/>
      <c r="BN188" s="206"/>
      <c r="BO188" s="206"/>
      <c r="BP188" s="206"/>
      <c r="BQ188" s="199"/>
      <c r="BR188" s="205"/>
      <c r="BW188" s="207"/>
      <c r="BX188" s="206"/>
      <c r="BY188" s="206"/>
      <c r="BZ188" s="206"/>
      <c r="CA188" s="206"/>
      <c r="CB188" s="199"/>
      <c r="CC188" s="206"/>
      <c r="CD188" s="206"/>
      <c r="CE188" s="206"/>
      <c r="CF188" s="206"/>
      <c r="CG188" s="206"/>
      <c r="CH188" s="304"/>
      <c r="CL188" s="206"/>
      <c r="CM188" s="304"/>
      <c r="CO188" s="206"/>
      <c r="CP188" s="206"/>
    </row>
    <row r="189" spans="1:94" ht="18" customHeight="1" x14ac:dyDescent="0.25">
      <c r="A189" s="373" t="s">
        <v>292</v>
      </c>
      <c r="D189" s="416"/>
      <c r="E189" s="563"/>
      <c r="G189" s="204"/>
      <c r="J189" s="204"/>
      <c r="L189" s="317"/>
      <c r="M189" s="317"/>
      <c r="N189" s="316"/>
      <c r="O189" s="317"/>
      <c r="P189" s="317"/>
      <c r="Q189" s="316"/>
      <c r="R189" s="204"/>
      <c r="S189" s="204"/>
      <c r="T189" s="304"/>
      <c r="U189" s="204"/>
      <c r="V189" s="204"/>
      <c r="W189" s="304"/>
      <c r="AB189" s="374"/>
      <c r="BH189" s="200"/>
      <c r="BI189" s="200"/>
      <c r="BJ189" s="200"/>
      <c r="BK189" s="200"/>
      <c r="BL189" s="206"/>
      <c r="BM189" s="206"/>
      <c r="BN189" s="206"/>
      <c r="BO189" s="206"/>
      <c r="BP189" s="206"/>
      <c r="BQ189" s="199"/>
      <c r="BR189" s="205"/>
      <c r="BW189" s="207"/>
      <c r="BX189" s="206"/>
      <c r="BY189" s="206"/>
      <c r="BZ189" s="206"/>
      <c r="CA189" s="206"/>
      <c r="CB189" s="199"/>
      <c r="CC189" s="206"/>
      <c r="CD189" s="206"/>
      <c r="CE189" s="206"/>
      <c r="CF189" s="206"/>
      <c r="CG189" s="206"/>
      <c r="CH189" s="304"/>
      <c r="CL189" s="206"/>
      <c r="CM189" s="304"/>
      <c r="CO189" s="206"/>
      <c r="CP189" s="206"/>
    </row>
    <row r="190" spans="1:94" s="289" customFormat="1" ht="18" customHeight="1" x14ac:dyDescent="0.25">
      <c r="A190" s="283" t="s">
        <v>64</v>
      </c>
      <c r="D190" s="375"/>
      <c r="E190" s="376"/>
      <c r="G190" s="287"/>
      <c r="H190" s="288"/>
      <c r="J190" s="287"/>
      <c r="K190" s="288"/>
      <c r="L190" s="285"/>
      <c r="M190" s="285"/>
      <c r="N190" s="377"/>
      <c r="O190" s="285"/>
      <c r="P190" s="285"/>
      <c r="Q190" s="377"/>
      <c r="R190" s="287"/>
      <c r="S190" s="287"/>
      <c r="T190" s="407"/>
      <c r="U190" s="287"/>
      <c r="V190" s="287"/>
      <c r="W190" s="407"/>
      <c r="X190" s="291"/>
      <c r="Y190" s="292"/>
      <c r="Z190" s="559"/>
      <c r="AA190" s="287"/>
      <c r="AB190" s="384"/>
      <c r="AC190" s="295"/>
      <c r="AF190" s="287"/>
      <c r="AG190" s="287"/>
      <c r="AX190" s="287"/>
      <c r="AY190" s="287"/>
      <c r="AZ190" s="407"/>
      <c r="BA190" s="407"/>
      <c r="BB190" s="407"/>
      <c r="BC190" s="407"/>
      <c r="BD190" s="407"/>
      <c r="BE190" s="287"/>
      <c r="BF190" s="287"/>
      <c r="BG190" s="407"/>
      <c r="BH190" s="290"/>
      <c r="BI190" s="290"/>
      <c r="BJ190" s="290"/>
      <c r="BK190" s="290"/>
      <c r="BL190" s="296"/>
      <c r="BM190" s="296"/>
      <c r="BN190" s="296"/>
      <c r="BO190" s="296"/>
      <c r="BP190" s="206">
        <f t="shared" si="191"/>
        <v>0</v>
      </c>
      <c r="BQ190" s="288"/>
      <c r="BR190" s="205" t="e">
        <f t="shared" si="192"/>
        <v>#DIV/0!</v>
      </c>
      <c r="BS190" s="296"/>
      <c r="BW190" s="298"/>
      <c r="BX190" s="296"/>
      <c r="BY190" s="296"/>
      <c r="BZ190" s="296"/>
      <c r="CA190" s="296"/>
      <c r="CB190" s="288"/>
      <c r="CC190" s="296"/>
      <c r="CD190" s="296"/>
      <c r="CE190" s="296"/>
      <c r="CF190" s="296"/>
      <c r="CG190" s="296"/>
      <c r="CH190" s="407"/>
      <c r="CL190" s="743"/>
      <c r="CM190" s="407"/>
    </row>
    <row r="191" spans="1:94" s="148" customFormat="1" ht="17.25" customHeight="1" x14ac:dyDescent="0.25">
      <c r="A191" s="312" t="s">
        <v>293</v>
      </c>
      <c r="B191" s="416">
        <v>0</v>
      </c>
      <c r="C191" s="416">
        <v>0</v>
      </c>
      <c r="D191" s="416">
        <f>C191-B191</f>
        <v>0</v>
      </c>
      <c r="E191" s="567" t="s">
        <v>132</v>
      </c>
      <c r="F191" s="203">
        <v>0</v>
      </c>
      <c r="G191" s="203">
        <f>F191-C191</f>
        <v>0</v>
      </c>
      <c r="H191" s="567" t="s">
        <v>132</v>
      </c>
      <c r="I191" s="203">
        <f>82134+6002</f>
        <v>88136</v>
      </c>
      <c r="J191" s="203">
        <f>I191-F191</f>
        <v>88136</v>
      </c>
      <c r="K191" s="567" t="s">
        <v>132</v>
      </c>
      <c r="L191" s="203">
        <v>96104</v>
      </c>
      <c r="M191" s="203">
        <v>7968</v>
      </c>
      <c r="N191" s="397">
        <v>9.0405736588908048E-2</v>
      </c>
      <c r="O191" s="203">
        <v>92175</v>
      </c>
      <c r="P191" s="203">
        <f>O191-L191</f>
        <v>-3929</v>
      </c>
      <c r="Q191" s="397">
        <f>P191/L191</f>
        <v>-4.088279364022309E-2</v>
      </c>
      <c r="R191" s="203">
        <v>100633</v>
      </c>
      <c r="S191" s="203">
        <f t="shared" ref="S191:S200" si="245">R191-O191</f>
        <v>8458</v>
      </c>
      <c r="T191" s="397">
        <f>S191/O191</f>
        <v>9.1760238676430697E-2</v>
      </c>
      <c r="U191" s="203">
        <v>113659</v>
      </c>
      <c r="V191" s="203">
        <f>U191-R191</f>
        <v>13026</v>
      </c>
      <c r="W191" s="397">
        <f>V191/R191</f>
        <v>0.12944064074408992</v>
      </c>
      <c r="X191" s="201">
        <v>129293</v>
      </c>
      <c r="Y191" s="203">
        <f t="shared" ref="Y191:Y200" si="246">X191-U191</f>
        <v>15634</v>
      </c>
      <c r="Z191" s="484">
        <f t="shared" ref="Z191:Z200" si="247">Y191/U191</f>
        <v>0.13755179968150344</v>
      </c>
      <c r="AA191" s="203">
        <v>137128</v>
      </c>
      <c r="AB191" s="564">
        <f t="shared" ref="AB191:AB200" si="248">AA191-X191</f>
        <v>7835</v>
      </c>
      <c r="AC191" s="485">
        <f t="shared" ref="AC191:AC200" si="249">AB191/X191</f>
        <v>6.0598794985033989E-2</v>
      </c>
      <c r="AD191" s="418">
        <v>116021</v>
      </c>
      <c r="AE191" s="418">
        <v>9101</v>
      </c>
      <c r="AF191" s="203">
        <v>119211</v>
      </c>
      <c r="AG191" s="203">
        <f t="shared" ref="AG191:AG200" si="250">AF191-AA191</f>
        <v>-17917</v>
      </c>
      <c r="AH191" s="397">
        <f t="shared" ref="AH191:AH200" si="251">AG191/AA191</f>
        <v>-0.13065894638585845</v>
      </c>
      <c r="AI191" s="418">
        <f>AF191-4322</f>
        <v>114889</v>
      </c>
      <c r="AJ191" s="418">
        <f>AF191-4322</f>
        <v>114889</v>
      </c>
      <c r="AK191" s="148">
        <v>125408</v>
      </c>
      <c r="AL191" s="354">
        <v>1000</v>
      </c>
      <c r="AM191" s="203">
        <f t="shared" ref="AM191:AM199" si="252">+AL191+AK191</f>
        <v>126408</v>
      </c>
      <c r="AN191" s="148">
        <v>94636</v>
      </c>
      <c r="AO191" s="148">
        <v>100123</v>
      </c>
      <c r="AP191" s="418"/>
      <c r="AQ191" s="418"/>
      <c r="AR191" s="418"/>
      <c r="AS191" s="203">
        <f>BB191+AR191</f>
        <v>103877.78606999999</v>
      </c>
      <c r="AT191" s="418">
        <f>AS191-AF191</f>
        <v>-15333.213930000013</v>
      </c>
      <c r="AU191" s="362">
        <f>AT191/AF191</f>
        <v>-0.12862247552658743</v>
      </c>
      <c r="AV191" s="418">
        <f t="shared" ref="AV191:AV200" si="253">+AS191-AF191</f>
        <v>-15333.213930000013</v>
      </c>
      <c r="AW191" s="362">
        <f t="shared" ref="AW191:AW200" si="254">+AV191/AF191</f>
        <v>-0.12862247552658743</v>
      </c>
      <c r="AX191" s="203">
        <f>101911</f>
        <v>101911</v>
      </c>
      <c r="AY191" s="203">
        <f t="shared" si="197"/>
        <v>-17300</v>
      </c>
      <c r="AZ191" s="397">
        <f t="shared" si="198"/>
        <v>-0.1451208361644479</v>
      </c>
      <c r="BA191" s="560">
        <f>96441.32886+7440.14456</f>
        <v>103881.47341999999</v>
      </c>
      <c r="BB191" s="560">
        <f>96441.32886+7436.45721</f>
        <v>103877.78606999999</v>
      </c>
      <c r="BC191" s="560">
        <f>BA191-BB191</f>
        <v>3.6873500000074273</v>
      </c>
      <c r="BD191" s="304">
        <f>BC191/BA191</f>
        <v>3.5495742201299129E-5</v>
      </c>
      <c r="BE191" s="204">
        <v>106874</v>
      </c>
      <c r="BF191" s="203">
        <f t="shared" ref="BF191:BF197" si="255">BE191-AX191</f>
        <v>4963</v>
      </c>
      <c r="BG191" s="397">
        <f t="shared" ref="BG191:BG197" si="256">BF191/AX191</f>
        <v>4.8699355319837899E-2</v>
      </c>
      <c r="BH191" s="418"/>
      <c r="BI191" s="418"/>
      <c r="BJ191" s="418"/>
      <c r="BK191" s="418"/>
      <c r="BL191" s="309">
        <f>BE191+BH191+BI191+BJ191+BK191</f>
        <v>106874</v>
      </c>
      <c r="BM191" s="309">
        <f t="shared" ref="BM191:BM197" si="257">BL191-AS191</f>
        <v>2996.2139300000126</v>
      </c>
      <c r="BN191" s="309">
        <v>111153</v>
      </c>
      <c r="BO191" s="309">
        <v>111153</v>
      </c>
      <c r="BP191" s="206">
        <f t="shared" si="191"/>
        <v>4279</v>
      </c>
      <c r="BQ191" s="362">
        <f t="shared" ref="BQ191:BQ197" si="258">BM191/AS191</f>
        <v>2.8843644472562765E-2</v>
      </c>
      <c r="BR191" s="205">
        <f t="shared" si="192"/>
        <v>4.0037801523289104E-2</v>
      </c>
      <c r="BS191" s="309"/>
      <c r="BT191" s="418"/>
      <c r="BU191" s="418"/>
      <c r="BV191" s="418"/>
      <c r="BW191" s="200">
        <f t="shared" ref="BW191:BW199" si="259">BN191+BS191+BT191+BU191+BV191</f>
        <v>111153</v>
      </c>
      <c r="BX191" s="206">
        <v>111153</v>
      </c>
      <c r="BY191" s="206">
        <f>99+197+504</f>
        <v>800</v>
      </c>
      <c r="BZ191" s="206">
        <v>112014</v>
      </c>
      <c r="CA191" s="206">
        <f t="shared" si="205"/>
        <v>5140</v>
      </c>
      <c r="CB191" s="199">
        <f>CA191/BE191</f>
        <v>4.8094017253962611E-2</v>
      </c>
      <c r="CC191" s="206">
        <v>118471</v>
      </c>
      <c r="CD191" s="206">
        <v>119264</v>
      </c>
      <c r="CE191" s="206">
        <v>3725</v>
      </c>
      <c r="CF191" s="206">
        <v>137389</v>
      </c>
      <c r="CG191" s="206">
        <f t="shared" ref="CG191:CG200" si="260">CF191-BZ191</f>
        <v>25375</v>
      </c>
      <c r="CH191" s="304">
        <f>CG191/BZ191</f>
        <v>0.22653418322709662</v>
      </c>
      <c r="CI191" s="309">
        <v>128109</v>
      </c>
      <c r="CJ191" s="309"/>
      <c r="CK191" s="309">
        <f t="shared" ref="CK191:CK199" si="261">CI191+CJ191</f>
        <v>128109</v>
      </c>
      <c r="CL191" s="206">
        <f t="shared" si="184"/>
        <v>-9280</v>
      </c>
      <c r="CM191" s="608">
        <f t="shared" ref="CM191:CM200" si="262">CL191/CF191</f>
        <v>-6.7545436679792417E-2</v>
      </c>
      <c r="CN191" s="418">
        <v>130951</v>
      </c>
      <c r="CO191" s="206">
        <f t="shared" si="185"/>
        <v>2842</v>
      </c>
      <c r="CP191" s="304">
        <f>CO191/CK191</f>
        <v>2.2184233738457095E-2</v>
      </c>
    </row>
    <row r="192" spans="1:94" s="148" customFormat="1" ht="17.25" customHeight="1" x14ac:dyDescent="0.25">
      <c r="A192" s="312" t="s">
        <v>294</v>
      </c>
      <c r="B192" s="416">
        <f>99624+5667</f>
        <v>105291</v>
      </c>
      <c r="C192" s="416">
        <f>96950+4814</f>
        <v>101764</v>
      </c>
      <c r="D192" s="416">
        <f>C192-B192</f>
        <v>-3527</v>
      </c>
      <c r="E192" s="563">
        <f>(C192-B192)/B192</f>
        <v>-3.3497639874253263E-2</v>
      </c>
      <c r="F192" s="203">
        <f>117021+3342</f>
        <v>120363</v>
      </c>
      <c r="G192" s="203">
        <f>F192-C192</f>
        <v>18599</v>
      </c>
      <c r="H192" s="362">
        <f>(F192-C192)/C192</f>
        <v>0.18276600762548642</v>
      </c>
      <c r="I192" s="203">
        <f>22890+811</f>
        <v>23701</v>
      </c>
      <c r="J192" s="203">
        <f>I192-F192</f>
        <v>-96662</v>
      </c>
      <c r="K192" s="362">
        <f>(I192-F192)/F192</f>
        <v>-0.80308732750097622</v>
      </c>
      <c r="L192" s="203">
        <v>20788</v>
      </c>
      <c r="M192" s="203">
        <v>-2913</v>
      </c>
      <c r="N192" s="397">
        <v>-0.12290620648917767</v>
      </c>
      <c r="O192" s="203">
        <v>27768</v>
      </c>
      <c r="P192" s="203">
        <f t="shared" ref="P192:P199" si="263">O192-L192</f>
        <v>6980</v>
      </c>
      <c r="Q192" s="397">
        <f>P192/L192</f>
        <v>0.33577063690590725</v>
      </c>
      <c r="R192" s="203">
        <v>31703</v>
      </c>
      <c r="S192" s="203">
        <f t="shared" si="245"/>
        <v>3935</v>
      </c>
      <c r="T192" s="397">
        <f>S192/O192</f>
        <v>0.14170988187842121</v>
      </c>
      <c r="U192" s="203">
        <v>46818</v>
      </c>
      <c r="V192" s="203">
        <f t="shared" ref="V192:V200" si="264">U192-R192</f>
        <v>15115</v>
      </c>
      <c r="W192" s="568" t="s">
        <v>132</v>
      </c>
      <c r="X192" s="201">
        <v>136292</v>
      </c>
      <c r="Y192" s="203">
        <f t="shared" si="246"/>
        <v>89474</v>
      </c>
      <c r="Z192" s="484">
        <f t="shared" si="247"/>
        <v>1.9111025673886113</v>
      </c>
      <c r="AA192" s="203">
        <v>124067</v>
      </c>
      <c r="AB192" s="564">
        <f t="shared" si="248"/>
        <v>-12225</v>
      </c>
      <c r="AC192" s="485">
        <f t="shared" si="249"/>
        <v>-8.969712088750624E-2</v>
      </c>
      <c r="AD192" s="148">
        <v>43</v>
      </c>
      <c r="AE192" s="148">
        <f>13000+89889</f>
        <v>102889</v>
      </c>
      <c r="AF192" s="203">
        <v>106669</v>
      </c>
      <c r="AG192" s="203">
        <f t="shared" si="250"/>
        <v>-17398</v>
      </c>
      <c r="AH192" s="397">
        <f t="shared" si="251"/>
        <v>-0.14023068180902254</v>
      </c>
      <c r="AI192" s="418">
        <f>AF192+181</f>
        <v>106850</v>
      </c>
      <c r="AJ192" s="418">
        <f>AF192+6167</f>
        <v>112836</v>
      </c>
      <c r="AK192" s="148">
        <v>15</v>
      </c>
      <c r="AL192" s="354">
        <v>28</v>
      </c>
      <c r="AM192" s="203">
        <f t="shared" si="252"/>
        <v>43</v>
      </c>
      <c r="AN192" s="148">
        <v>0</v>
      </c>
      <c r="AO192" s="148">
        <v>95490</v>
      </c>
      <c r="AP192" s="418"/>
      <c r="AQ192" s="418"/>
      <c r="AR192" s="418"/>
      <c r="AS192" s="203">
        <f t="shared" ref="AS192:AS199" si="265">BB192+AR192</f>
        <v>97436.505439999994</v>
      </c>
      <c r="AT192" s="418">
        <f t="shared" ref="AT192:AT200" si="266">AS192-AF192</f>
        <v>-9232.4945600000065</v>
      </c>
      <c r="AU192" s="362">
        <f t="shared" ref="AU192:AU200" si="267">AT192/AF192</f>
        <v>-8.6552743158743464E-2</v>
      </c>
      <c r="AV192" s="418">
        <f t="shared" si="253"/>
        <v>-9232.4945600000065</v>
      </c>
      <c r="AW192" s="362">
        <f t="shared" si="254"/>
        <v>-8.6552743158743464E-2</v>
      </c>
      <c r="AX192" s="203">
        <f>93020+5795+2525</f>
        <v>101340</v>
      </c>
      <c r="AY192" s="203">
        <f t="shared" si="197"/>
        <v>-5329</v>
      </c>
      <c r="AZ192" s="397">
        <f t="shared" si="198"/>
        <v>-4.9958282162577694E-2</v>
      </c>
      <c r="BA192" s="560">
        <f>2940.21083+15000+79985.8562</f>
        <v>97926.067029999991</v>
      </c>
      <c r="BB192" s="560">
        <f>2936.64317+15000+79499.86227</f>
        <v>97436.505439999994</v>
      </c>
      <c r="BC192" s="560">
        <f t="shared" ref="BC192:BC199" si="268">BA192-BB192</f>
        <v>489.56158999999752</v>
      </c>
      <c r="BD192" s="304">
        <f t="shared" ref="BD192:BD199" si="269">BC192/BA192</f>
        <v>4.9992979892679512E-3</v>
      </c>
      <c r="BE192" s="204">
        <v>125344</v>
      </c>
      <c r="BF192" s="203">
        <f t="shared" si="255"/>
        <v>24004</v>
      </c>
      <c r="BG192" s="397">
        <f t="shared" si="256"/>
        <v>0.23686599565818039</v>
      </c>
      <c r="BH192" s="418"/>
      <c r="BI192" s="418"/>
      <c r="BJ192" s="418"/>
      <c r="BK192" s="418"/>
      <c r="BL192" s="309">
        <f t="shared" si="201"/>
        <v>125344</v>
      </c>
      <c r="BM192" s="309">
        <f t="shared" si="257"/>
        <v>27907.494560000006</v>
      </c>
      <c r="BN192" s="309">
        <f>70684+1360+50600</f>
        <v>122644</v>
      </c>
      <c r="BO192" s="309">
        <f>70623+1360+50600</f>
        <v>122583</v>
      </c>
      <c r="BP192" s="206">
        <f t="shared" si="191"/>
        <v>-2761</v>
      </c>
      <c r="BQ192" s="362">
        <f t="shared" si="258"/>
        <v>0.28641723586017814</v>
      </c>
      <c r="BR192" s="205">
        <f t="shared" si="192"/>
        <v>-2.2027380648455452E-2</v>
      </c>
      <c r="BS192" s="309"/>
      <c r="BT192" s="418"/>
      <c r="BU192" s="418"/>
      <c r="BV192" s="418"/>
      <c r="BW192" s="200">
        <f t="shared" si="259"/>
        <v>122644</v>
      </c>
      <c r="BX192" s="206">
        <f>70623+1360</f>
        <v>71983</v>
      </c>
      <c r="BY192" s="148">
        <f>93+2000+501</f>
        <v>2594</v>
      </c>
      <c r="BZ192" s="206">
        <v>70892</v>
      </c>
      <c r="CA192" s="206">
        <f t="shared" si="205"/>
        <v>-54452</v>
      </c>
      <c r="CB192" s="199">
        <f t="shared" ref="CB192:CB200" si="270">CA192/BE192</f>
        <v>-0.43442047485320401</v>
      </c>
      <c r="CC192" s="206">
        <f>90889</f>
        <v>90889</v>
      </c>
      <c r="CD192" s="206">
        <v>93103</v>
      </c>
      <c r="CE192" s="206">
        <v>9708</v>
      </c>
      <c r="CF192" s="206">
        <v>83523</v>
      </c>
      <c r="CG192" s="206">
        <f t="shared" si="260"/>
        <v>12631</v>
      </c>
      <c r="CH192" s="304">
        <f t="shared" ref="CH192:CH200" si="271">CG192/BZ192</f>
        <v>0.17817243130395533</v>
      </c>
      <c r="CI192" s="309">
        <f>103156</f>
        <v>103156</v>
      </c>
      <c r="CJ192" s="309"/>
      <c r="CK192" s="309">
        <f t="shared" si="261"/>
        <v>103156</v>
      </c>
      <c r="CL192" s="206">
        <f t="shared" si="184"/>
        <v>19633</v>
      </c>
      <c r="CM192" s="608">
        <f t="shared" si="262"/>
        <v>0.23506100116135675</v>
      </c>
      <c r="CN192" s="418">
        <f>103471+2177+490</f>
        <v>106138</v>
      </c>
      <c r="CO192" s="206">
        <f t="shared" si="185"/>
        <v>2982</v>
      </c>
      <c r="CP192" s="304">
        <f>CO192/CK192</f>
        <v>2.8907673814417001E-2</v>
      </c>
    </row>
    <row r="193" spans="1:94" s="148" customFormat="1" ht="17.25" customHeight="1" x14ac:dyDescent="0.25">
      <c r="A193" s="312" t="s">
        <v>295</v>
      </c>
      <c r="B193" s="416">
        <f>19357+4979</f>
        <v>24336</v>
      </c>
      <c r="C193" s="416">
        <f>23967+3237</f>
        <v>27204</v>
      </c>
      <c r="D193" s="416">
        <f>C193-B193</f>
        <v>2868</v>
      </c>
      <c r="E193" s="563">
        <f>(C193-B193)/B193</f>
        <v>0.11785009861932939</v>
      </c>
      <c r="F193" s="203">
        <f>28309+4263</f>
        <v>32572</v>
      </c>
      <c r="G193" s="203">
        <f>F193-C193</f>
        <v>5368</v>
      </c>
      <c r="H193" s="362">
        <f>(F193-C193)/C193</f>
        <v>0.19732392295250697</v>
      </c>
      <c r="I193" s="203">
        <f>29789+5531</f>
        <v>35320</v>
      </c>
      <c r="J193" s="203">
        <f>I193-F193</f>
        <v>2748</v>
      </c>
      <c r="K193" s="362">
        <f>(I193-F193)/F193</f>
        <v>8.4366940930860862E-2</v>
      </c>
      <c r="L193" s="203">
        <v>32984</v>
      </c>
      <c r="M193" s="203">
        <v>-2336</v>
      </c>
      <c r="N193" s="397">
        <v>-6.6138165345413363E-2</v>
      </c>
      <c r="O193" s="203">
        <v>37796</v>
      </c>
      <c r="P193" s="203">
        <f t="shared" si="263"/>
        <v>4812</v>
      </c>
      <c r="Q193" s="397">
        <f>P193/L193</f>
        <v>0.14588891583798205</v>
      </c>
      <c r="R193" s="203">
        <v>37418</v>
      </c>
      <c r="S193" s="203">
        <f t="shared" si="245"/>
        <v>-378</v>
      </c>
      <c r="T193" s="397">
        <f>S193/O193</f>
        <v>-1.0001058313049E-2</v>
      </c>
      <c r="U193" s="203">
        <v>37550</v>
      </c>
      <c r="V193" s="203">
        <f t="shared" si="264"/>
        <v>132</v>
      </c>
      <c r="W193" s="397">
        <f t="shared" ref="W193:W200" si="272">V193/R193</f>
        <v>3.5277139344700413E-3</v>
      </c>
      <c r="X193" s="201">
        <v>38668</v>
      </c>
      <c r="Y193" s="203">
        <f t="shared" si="246"/>
        <v>1118</v>
      </c>
      <c r="Z193" s="484">
        <f t="shared" si="247"/>
        <v>2.9773635153129162E-2</v>
      </c>
      <c r="AA193" s="203">
        <v>42952</v>
      </c>
      <c r="AB193" s="564">
        <f t="shared" si="248"/>
        <v>4284</v>
      </c>
      <c r="AC193" s="485">
        <f t="shared" si="249"/>
        <v>0.11078928312816799</v>
      </c>
      <c r="AD193" s="418">
        <v>26524</v>
      </c>
      <c r="AE193" s="418">
        <v>13762</v>
      </c>
      <c r="AF193" s="203">
        <v>36235</v>
      </c>
      <c r="AG193" s="203">
        <f t="shared" si="250"/>
        <v>-6717</v>
      </c>
      <c r="AH193" s="397">
        <f t="shared" si="251"/>
        <v>-0.15638387036692122</v>
      </c>
      <c r="AI193" s="418">
        <f>AF193-20</f>
        <v>36215</v>
      </c>
      <c r="AJ193" s="418">
        <f>AF193-1062</f>
        <v>35173</v>
      </c>
      <c r="AK193" s="148">
        <v>27794</v>
      </c>
      <c r="AL193" s="354"/>
      <c r="AM193" s="203">
        <f t="shared" si="252"/>
        <v>27794</v>
      </c>
      <c r="AN193" s="148">
        <v>24182</v>
      </c>
      <c r="AO193" s="148">
        <v>36476</v>
      </c>
      <c r="AP193" s="418"/>
      <c r="AQ193" s="418"/>
      <c r="AR193" s="418"/>
      <c r="AS193" s="203">
        <f t="shared" si="265"/>
        <v>34866.127999999997</v>
      </c>
      <c r="AT193" s="418">
        <f t="shared" si="266"/>
        <v>-1368.872000000003</v>
      </c>
      <c r="AU193" s="362">
        <f t="shared" si="267"/>
        <v>-3.7777618324824146E-2</v>
      </c>
      <c r="AV193" s="418">
        <f t="shared" si="253"/>
        <v>-1368.872000000003</v>
      </c>
      <c r="AW193" s="362">
        <f t="shared" si="254"/>
        <v>-3.7777618324824146E-2</v>
      </c>
      <c r="AX193" s="203">
        <f>35689+1500</f>
        <v>37189</v>
      </c>
      <c r="AY193" s="203">
        <f t="shared" si="197"/>
        <v>954</v>
      </c>
      <c r="AZ193" s="397">
        <f t="shared" si="198"/>
        <v>2.6328135780322892E-2</v>
      </c>
      <c r="BA193" s="560">
        <f>25801.49595+11820.53466</f>
        <v>37622.030610000002</v>
      </c>
      <c r="BB193" s="560">
        <f>23830.99093+11035.13707</f>
        <v>34866.127999999997</v>
      </c>
      <c r="BC193" s="560">
        <f t="shared" si="268"/>
        <v>2755.9026100000046</v>
      </c>
      <c r="BD193" s="304">
        <f t="shared" si="269"/>
        <v>7.3252362121769179E-2</v>
      </c>
      <c r="BE193" s="203">
        <v>35487</v>
      </c>
      <c r="BF193" s="203">
        <f t="shared" si="255"/>
        <v>-1702</v>
      </c>
      <c r="BG193" s="397">
        <f t="shared" si="256"/>
        <v>-4.5766221194439217E-2</v>
      </c>
      <c r="BH193" s="418"/>
      <c r="BI193" s="418"/>
      <c r="BJ193" s="418"/>
      <c r="BK193" s="418"/>
      <c r="BL193" s="309">
        <f t="shared" si="201"/>
        <v>35487</v>
      </c>
      <c r="BM193" s="309">
        <f t="shared" si="257"/>
        <v>620.87200000000303</v>
      </c>
      <c r="BN193" s="309">
        <f>34060+2200</f>
        <v>36260</v>
      </c>
      <c r="BO193" s="309">
        <v>34060</v>
      </c>
      <c r="BP193" s="206">
        <f t="shared" si="191"/>
        <v>-1427</v>
      </c>
      <c r="BQ193" s="362">
        <f t="shared" si="258"/>
        <v>1.780731143991679E-2</v>
      </c>
      <c r="BR193" s="205">
        <f t="shared" si="192"/>
        <v>-4.021190858624285E-2</v>
      </c>
      <c r="BS193" s="309"/>
      <c r="BT193" s="418"/>
      <c r="BU193" s="418"/>
      <c r="BV193" s="418"/>
      <c r="BW193" s="200">
        <f t="shared" si="259"/>
        <v>36260</v>
      </c>
      <c r="BX193" s="206">
        <f>34060+2200</f>
        <v>36260</v>
      </c>
      <c r="BY193" s="206">
        <v>-2200</v>
      </c>
      <c r="BZ193" s="206">
        <v>32292</v>
      </c>
      <c r="CA193" s="206">
        <f t="shared" si="205"/>
        <v>-3195</v>
      </c>
      <c r="CB193" s="199">
        <f t="shared" si="270"/>
        <v>-9.0032969819934056E-2</v>
      </c>
      <c r="CC193" s="206">
        <v>37072</v>
      </c>
      <c r="CD193" s="206">
        <v>36603</v>
      </c>
      <c r="CE193" s="206"/>
      <c r="CF193" s="206">
        <v>34031</v>
      </c>
      <c r="CG193" s="206">
        <f t="shared" si="260"/>
        <v>1739</v>
      </c>
      <c r="CH193" s="304">
        <f t="shared" si="271"/>
        <v>5.3852347330608202E-2</v>
      </c>
      <c r="CI193" s="309">
        <v>38848</v>
      </c>
      <c r="CJ193" s="309"/>
      <c r="CK193" s="309">
        <f t="shared" si="261"/>
        <v>38848</v>
      </c>
      <c r="CL193" s="206">
        <f t="shared" si="184"/>
        <v>4817</v>
      </c>
      <c r="CM193" s="608">
        <f t="shared" si="262"/>
        <v>0.14154741265316917</v>
      </c>
      <c r="CN193" s="418">
        <v>38605</v>
      </c>
      <c r="CO193" s="206">
        <f t="shared" si="185"/>
        <v>-243</v>
      </c>
      <c r="CP193" s="304">
        <f>CO193/CK193</f>
        <v>-6.2551482701812188E-3</v>
      </c>
    </row>
    <row r="194" spans="1:94" s="148" customFormat="1" ht="17.25" customHeight="1" x14ac:dyDescent="0.25">
      <c r="A194" s="312" t="s">
        <v>296</v>
      </c>
      <c r="D194" s="416">
        <f t="shared" ref="D194:D255" si="273">C194-B194</f>
        <v>0</v>
      </c>
      <c r="E194" s="567" t="s">
        <v>132</v>
      </c>
      <c r="F194" s="148">
        <v>2707</v>
      </c>
      <c r="G194" s="203">
        <f t="shared" ref="G194:G255" si="274">F194-C194</f>
        <v>2707</v>
      </c>
      <c r="H194" s="567" t="s">
        <v>132</v>
      </c>
      <c r="I194" s="148">
        <v>2868</v>
      </c>
      <c r="J194" s="203">
        <f t="shared" ref="J194:J255" si="275">I194-F194</f>
        <v>161</v>
      </c>
      <c r="K194" s="567" t="s">
        <v>132</v>
      </c>
      <c r="L194" s="203">
        <v>1977</v>
      </c>
      <c r="M194" s="203">
        <v>0</v>
      </c>
      <c r="N194" s="568" t="s">
        <v>132</v>
      </c>
      <c r="O194" s="203">
        <v>4306</v>
      </c>
      <c r="P194" s="203">
        <f t="shared" si="263"/>
        <v>2329</v>
      </c>
      <c r="Q194" s="568" t="s">
        <v>132</v>
      </c>
      <c r="R194" s="203">
        <v>3004</v>
      </c>
      <c r="S194" s="203">
        <f t="shared" si="245"/>
        <v>-1302</v>
      </c>
      <c r="T194" s="568" t="s">
        <v>132</v>
      </c>
      <c r="U194" s="203">
        <v>26993</v>
      </c>
      <c r="V194" s="203">
        <f t="shared" si="264"/>
        <v>23989</v>
      </c>
      <c r="W194" s="568" t="s">
        <v>132</v>
      </c>
      <c r="X194" s="201">
        <v>37466</v>
      </c>
      <c r="Y194" s="203">
        <f t="shared" si="246"/>
        <v>10473</v>
      </c>
      <c r="Z194" s="484">
        <f t="shared" si="247"/>
        <v>0.38798947875375095</v>
      </c>
      <c r="AA194" s="203">
        <v>57732</v>
      </c>
      <c r="AB194" s="564">
        <f t="shared" si="248"/>
        <v>20266</v>
      </c>
      <c r="AC194" s="485">
        <f t="shared" si="249"/>
        <v>0.54091709816900657</v>
      </c>
      <c r="AD194" s="418">
        <v>17343</v>
      </c>
      <c r="AE194" s="418">
        <v>40205</v>
      </c>
      <c r="AF194" s="203">
        <v>46427</v>
      </c>
      <c r="AG194" s="203">
        <f t="shared" si="250"/>
        <v>-11305</v>
      </c>
      <c r="AH194" s="397">
        <f t="shared" si="251"/>
        <v>-0.1958186101295642</v>
      </c>
      <c r="AI194" s="418">
        <f>AF194-126</f>
        <v>46301</v>
      </c>
      <c r="AJ194" s="319">
        <f>AF194-1455</f>
        <v>44972</v>
      </c>
      <c r="AK194" s="68">
        <v>12630</v>
      </c>
      <c r="AL194" s="354">
        <v>6507</v>
      </c>
      <c r="AM194" s="203">
        <f t="shared" si="252"/>
        <v>19137</v>
      </c>
      <c r="AN194" s="148">
        <v>13925</v>
      </c>
      <c r="AO194" s="148">
        <v>50811</v>
      </c>
      <c r="AP194" s="418"/>
      <c r="AQ194" s="418"/>
      <c r="AR194" s="418"/>
      <c r="AS194" s="203">
        <f t="shared" si="265"/>
        <v>37410.08898</v>
      </c>
      <c r="AT194" s="418">
        <f t="shared" si="266"/>
        <v>-9016.9110199999996</v>
      </c>
      <c r="AU194" s="362">
        <f t="shared" si="267"/>
        <v>-0.19421696469726668</v>
      </c>
      <c r="AV194" s="418">
        <f t="shared" si="253"/>
        <v>-9016.9110199999996</v>
      </c>
      <c r="AW194" s="362">
        <f t="shared" si="254"/>
        <v>-0.19421696469726668</v>
      </c>
      <c r="AX194" s="203">
        <v>44577</v>
      </c>
      <c r="AY194" s="203">
        <f t="shared" si="197"/>
        <v>-1850</v>
      </c>
      <c r="AZ194" s="397">
        <f t="shared" si="198"/>
        <v>-3.9847502530854888E-2</v>
      </c>
      <c r="BA194" s="560">
        <f>12610.53748+30195.6168</f>
        <v>42806.154280000002</v>
      </c>
      <c r="BB194" s="560">
        <f>12321.16882+25088.92016</f>
        <v>37410.08898</v>
      </c>
      <c r="BC194" s="560">
        <f t="shared" si="268"/>
        <v>5396.065300000002</v>
      </c>
      <c r="BD194" s="304">
        <f t="shared" si="269"/>
        <v>0.12605816595211322</v>
      </c>
      <c r="BE194" s="203">
        <v>43464</v>
      </c>
      <c r="BF194" s="203">
        <f t="shared" si="255"/>
        <v>-1113</v>
      </c>
      <c r="BG194" s="397">
        <f t="shared" si="256"/>
        <v>-2.4968032842048592E-2</v>
      </c>
      <c r="BH194" s="418"/>
      <c r="BI194" s="418"/>
      <c r="BJ194" s="418"/>
      <c r="BK194" s="418"/>
      <c r="BL194" s="309">
        <f t="shared" si="201"/>
        <v>43464</v>
      </c>
      <c r="BM194" s="309">
        <f t="shared" si="257"/>
        <v>6053.9110199999996</v>
      </c>
      <c r="BN194" s="309">
        <v>65433</v>
      </c>
      <c r="BO194" s="309">
        <v>65433</v>
      </c>
      <c r="BP194" s="206">
        <f t="shared" si="191"/>
        <v>21969</v>
      </c>
      <c r="BQ194" s="362">
        <f t="shared" si="258"/>
        <v>0.16182562471948442</v>
      </c>
      <c r="BR194" s="205">
        <f t="shared" si="192"/>
        <v>0.50545278851463282</v>
      </c>
      <c r="BS194" s="309"/>
      <c r="BT194" s="418"/>
      <c r="BU194" s="418"/>
      <c r="BV194" s="418"/>
      <c r="BW194" s="200">
        <f t="shared" si="259"/>
        <v>65433</v>
      </c>
      <c r="BX194" s="206">
        <v>65433</v>
      </c>
      <c r="BY194" s="206"/>
      <c r="BZ194" s="206">
        <v>47983</v>
      </c>
      <c r="CA194" s="206">
        <f t="shared" si="205"/>
        <v>4519</v>
      </c>
      <c r="CB194" s="199">
        <f t="shared" si="270"/>
        <v>0.1039711025216271</v>
      </c>
      <c r="CC194" s="206">
        <v>68615</v>
      </c>
      <c r="CD194" s="206">
        <v>69212</v>
      </c>
      <c r="CE194" s="206"/>
      <c r="CF194" s="206">
        <v>54311</v>
      </c>
      <c r="CG194" s="206">
        <f t="shared" si="260"/>
        <v>6328</v>
      </c>
      <c r="CH194" s="304">
        <f t="shared" si="271"/>
        <v>0.13188004084780025</v>
      </c>
      <c r="CI194" s="309">
        <v>79314</v>
      </c>
      <c r="CJ194" s="309"/>
      <c r="CK194" s="309">
        <f t="shared" si="261"/>
        <v>79314</v>
      </c>
      <c r="CL194" s="206">
        <f t="shared" si="184"/>
        <v>25003</v>
      </c>
      <c r="CM194" s="608">
        <f t="shared" si="262"/>
        <v>0.46036714477730112</v>
      </c>
      <c r="CN194" s="418">
        <v>77881</v>
      </c>
      <c r="CO194" s="206">
        <f t="shared" si="185"/>
        <v>-1433</v>
      </c>
      <c r="CP194" s="304">
        <f>CO194/CK194</f>
        <v>-1.8067428196787451E-2</v>
      </c>
    </row>
    <row r="195" spans="1:94" s="148" customFormat="1" ht="17.25" customHeight="1" x14ac:dyDescent="0.25">
      <c r="A195" s="312" t="s">
        <v>297</v>
      </c>
      <c r="B195" s="416">
        <f>289+298</f>
        <v>587</v>
      </c>
      <c r="C195" s="416">
        <f>321+449</f>
        <v>770</v>
      </c>
      <c r="D195" s="416">
        <f t="shared" si="273"/>
        <v>183</v>
      </c>
      <c r="E195" s="563">
        <f>(C195-B195)/B195</f>
        <v>0.31175468483816016</v>
      </c>
      <c r="F195" s="203">
        <f>536+421</f>
        <v>957</v>
      </c>
      <c r="G195" s="203">
        <f t="shared" si="274"/>
        <v>187</v>
      </c>
      <c r="H195" s="362">
        <f>(F195-C195)/C195</f>
        <v>0.24285714285714285</v>
      </c>
      <c r="I195" s="203">
        <f>715+372</f>
        <v>1087</v>
      </c>
      <c r="J195" s="203">
        <f t="shared" si="275"/>
        <v>130</v>
      </c>
      <c r="K195" s="362">
        <f>(I195-F195)/F195</f>
        <v>0.13584117032392895</v>
      </c>
      <c r="L195" s="203">
        <v>1221</v>
      </c>
      <c r="M195" s="203">
        <v>134</v>
      </c>
      <c r="N195" s="397">
        <v>0.12327506899724011</v>
      </c>
      <c r="O195" s="203">
        <v>1203</v>
      </c>
      <c r="P195" s="203">
        <f t="shared" si="263"/>
        <v>-18</v>
      </c>
      <c r="Q195" s="397">
        <f>P195/L195</f>
        <v>-1.4742014742014743E-2</v>
      </c>
      <c r="R195" s="203">
        <v>1149</v>
      </c>
      <c r="S195" s="203">
        <f t="shared" si="245"/>
        <v>-54</v>
      </c>
      <c r="T195" s="397">
        <f>S195/O195</f>
        <v>-4.488778054862843E-2</v>
      </c>
      <c r="U195" s="203">
        <v>1266</v>
      </c>
      <c r="V195" s="203">
        <f t="shared" si="264"/>
        <v>117</v>
      </c>
      <c r="W195" s="397">
        <f t="shared" si="272"/>
        <v>0.10182767624020887</v>
      </c>
      <c r="X195" s="201">
        <v>1620</v>
      </c>
      <c r="Y195" s="203">
        <f t="shared" si="246"/>
        <v>354</v>
      </c>
      <c r="Z195" s="484">
        <f t="shared" si="247"/>
        <v>0.27962085308056872</v>
      </c>
      <c r="AA195" s="203">
        <v>1927</v>
      </c>
      <c r="AB195" s="564">
        <f t="shared" si="248"/>
        <v>307</v>
      </c>
      <c r="AC195" s="485">
        <f t="shared" si="249"/>
        <v>0.18950617283950616</v>
      </c>
      <c r="AD195" s="418">
        <v>1213</v>
      </c>
      <c r="AE195" s="418">
        <v>656</v>
      </c>
      <c r="AF195" s="203">
        <v>1544</v>
      </c>
      <c r="AG195" s="203">
        <f t="shared" si="250"/>
        <v>-383</v>
      </c>
      <c r="AH195" s="397">
        <f t="shared" si="251"/>
        <v>-0.19875454073689672</v>
      </c>
      <c r="AI195" s="418">
        <f>AF195-100</f>
        <v>1444</v>
      </c>
      <c r="AJ195" s="319">
        <f>AF195-75</f>
        <v>1469</v>
      </c>
      <c r="AK195" s="68">
        <v>1366</v>
      </c>
      <c r="AL195" s="354">
        <v>5</v>
      </c>
      <c r="AM195" s="203">
        <f t="shared" si="252"/>
        <v>1371</v>
      </c>
      <c r="AN195" s="267">
        <v>1097</v>
      </c>
      <c r="AO195" s="148">
        <v>1634</v>
      </c>
      <c r="AP195" s="418"/>
      <c r="AQ195" s="418"/>
      <c r="AR195" s="418"/>
      <c r="AS195" s="203">
        <f t="shared" si="265"/>
        <v>1414.6360999999999</v>
      </c>
      <c r="AT195" s="418">
        <f t="shared" si="266"/>
        <v>-129.36390000000006</v>
      </c>
      <c r="AU195" s="362">
        <f t="shared" si="267"/>
        <v>-8.3784909326424906E-2</v>
      </c>
      <c r="AV195" s="418">
        <f t="shared" si="253"/>
        <v>-129.36390000000006</v>
      </c>
      <c r="AW195" s="362">
        <f t="shared" si="254"/>
        <v>-8.3784909326424906E-2</v>
      </c>
      <c r="AX195" s="203">
        <v>1590</v>
      </c>
      <c r="AY195" s="203">
        <f t="shared" si="197"/>
        <v>46</v>
      </c>
      <c r="AZ195" s="397">
        <f t="shared" si="198"/>
        <v>2.9792746113989636E-2</v>
      </c>
      <c r="BA195" s="560">
        <f>1078.39087+511.19958</f>
        <v>1589.5904499999999</v>
      </c>
      <c r="BB195" s="560">
        <f>1049.25103+365.38507</f>
        <v>1414.6360999999999</v>
      </c>
      <c r="BC195" s="560">
        <f t="shared" si="268"/>
        <v>174.95434999999998</v>
      </c>
      <c r="BD195" s="304">
        <f t="shared" si="269"/>
        <v>0.11006253214467915</v>
      </c>
      <c r="BE195" s="203">
        <v>2452</v>
      </c>
      <c r="BF195" s="203">
        <f t="shared" si="255"/>
        <v>862</v>
      </c>
      <c r="BG195" s="397">
        <f t="shared" si="256"/>
        <v>0.5421383647798742</v>
      </c>
      <c r="BH195" s="418"/>
      <c r="BI195" s="418"/>
      <c r="BJ195" s="418"/>
      <c r="BK195" s="418"/>
      <c r="BL195" s="309">
        <f t="shared" si="201"/>
        <v>2452</v>
      </c>
      <c r="BM195" s="309">
        <f t="shared" si="257"/>
        <v>1037.3639000000001</v>
      </c>
      <c r="BN195" s="309">
        <v>1607</v>
      </c>
      <c r="BO195" s="309">
        <v>1607</v>
      </c>
      <c r="BP195" s="206">
        <f t="shared" si="191"/>
        <v>-845</v>
      </c>
      <c r="BQ195" s="362">
        <f t="shared" si="258"/>
        <v>0.73330795106953661</v>
      </c>
      <c r="BR195" s="205">
        <f t="shared" si="192"/>
        <v>-0.34461663947797716</v>
      </c>
      <c r="BS195" s="309"/>
      <c r="BT195" s="418"/>
      <c r="BU195" s="418"/>
      <c r="BV195" s="418"/>
      <c r="BW195" s="200">
        <f t="shared" si="259"/>
        <v>1607</v>
      </c>
      <c r="BX195" s="206">
        <v>1607</v>
      </c>
      <c r="BY195" s="206">
        <v>700</v>
      </c>
      <c r="BZ195" s="206">
        <v>2365</v>
      </c>
      <c r="CA195" s="206">
        <f t="shared" si="205"/>
        <v>-87</v>
      </c>
      <c r="CB195" s="199">
        <f t="shared" si="270"/>
        <v>-3.5481239804241435E-2</v>
      </c>
      <c r="CC195" s="206">
        <v>2778</v>
      </c>
      <c r="CD195" s="206">
        <v>4000</v>
      </c>
      <c r="CE195" s="206"/>
      <c r="CF195" s="206">
        <v>4216</v>
      </c>
      <c r="CG195" s="206">
        <f t="shared" si="260"/>
        <v>1851</v>
      </c>
      <c r="CH195" s="304">
        <f t="shared" si="271"/>
        <v>0.78266384778012688</v>
      </c>
      <c r="CI195" s="309">
        <f>8270</f>
        <v>8270</v>
      </c>
      <c r="CJ195" s="309"/>
      <c r="CK195" s="309">
        <f t="shared" si="261"/>
        <v>8270</v>
      </c>
      <c r="CL195" s="206">
        <f t="shared" si="184"/>
        <v>4054</v>
      </c>
      <c r="CM195" s="608">
        <f t="shared" si="262"/>
        <v>0.9615749525616698</v>
      </c>
      <c r="CN195" s="418">
        <f>8399-1000</f>
        <v>7399</v>
      </c>
      <c r="CO195" s="206">
        <f t="shared" si="185"/>
        <v>-871</v>
      </c>
      <c r="CP195" s="304">
        <f>CO195/CK195</f>
        <v>-0.10532043530834341</v>
      </c>
    </row>
    <row r="196" spans="1:94" ht="17.25" customHeight="1" x14ac:dyDescent="0.25">
      <c r="A196" s="313" t="s">
        <v>298</v>
      </c>
      <c r="B196" s="302">
        <v>81</v>
      </c>
      <c r="C196" s="302">
        <v>82</v>
      </c>
      <c r="D196" s="416">
        <f t="shared" si="273"/>
        <v>1</v>
      </c>
      <c r="E196" s="563">
        <f>(C196-B196)/B196</f>
        <v>1.2345679012345678E-2</v>
      </c>
      <c r="F196" s="204">
        <v>83</v>
      </c>
      <c r="G196" s="204">
        <f t="shared" si="274"/>
        <v>1</v>
      </c>
      <c r="H196" s="199">
        <f>(F196-C196)/C196</f>
        <v>1.2195121951219513E-2</v>
      </c>
      <c r="I196" s="204">
        <v>90</v>
      </c>
      <c r="J196" s="204">
        <f t="shared" si="275"/>
        <v>7</v>
      </c>
      <c r="K196" s="199">
        <f>(I196-F196)/F196</f>
        <v>8.4337349397590355E-2</v>
      </c>
      <c r="L196" s="204">
        <v>92</v>
      </c>
      <c r="M196" s="204">
        <v>2</v>
      </c>
      <c r="N196" s="304">
        <v>2.2222222222222223E-2</v>
      </c>
      <c r="O196" s="204">
        <v>95</v>
      </c>
      <c r="P196" s="204">
        <f t="shared" si="263"/>
        <v>3</v>
      </c>
      <c r="Q196" s="304">
        <f>P196/L196</f>
        <v>3.2608695652173912E-2</v>
      </c>
      <c r="R196" s="204">
        <v>110</v>
      </c>
      <c r="S196" s="204">
        <f t="shared" si="245"/>
        <v>15</v>
      </c>
      <c r="T196" s="304">
        <f>S196/O196</f>
        <v>0.15789473684210525</v>
      </c>
      <c r="U196" s="204">
        <v>110</v>
      </c>
      <c r="V196" s="204">
        <f t="shared" si="264"/>
        <v>0</v>
      </c>
      <c r="W196" s="304">
        <f t="shared" si="272"/>
        <v>0</v>
      </c>
      <c r="X196" s="201">
        <v>113</v>
      </c>
      <c r="Y196" s="204">
        <f t="shared" si="246"/>
        <v>3</v>
      </c>
      <c r="Z196" s="484">
        <f t="shared" si="247"/>
        <v>2.7272727272727271E-2</v>
      </c>
      <c r="AA196" s="203">
        <v>113</v>
      </c>
      <c r="AB196" s="374">
        <f t="shared" si="248"/>
        <v>0</v>
      </c>
      <c r="AC196" s="205">
        <f t="shared" si="249"/>
        <v>0</v>
      </c>
      <c r="AD196" s="200">
        <v>123</v>
      </c>
      <c r="AE196" s="200"/>
      <c r="AF196" s="204">
        <v>123</v>
      </c>
      <c r="AG196" s="204">
        <f t="shared" si="250"/>
        <v>10</v>
      </c>
      <c r="AH196" s="304">
        <f t="shared" si="251"/>
        <v>8.8495575221238937E-2</v>
      </c>
      <c r="AI196" s="200">
        <f>AF196</f>
        <v>123</v>
      </c>
      <c r="AJ196" s="319">
        <f>AF196</f>
        <v>123</v>
      </c>
      <c r="AK196" s="68">
        <v>126</v>
      </c>
      <c r="AL196" s="354"/>
      <c r="AM196" s="204">
        <f t="shared" si="252"/>
        <v>126</v>
      </c>
      <c r="AN196" s="66">
        <v>123</v>
      </c>
      <c r="AO196" s="66">
        <v>0</v>
      </c>
      <c r="AP196" s="200">
        <v>0</v>
      </c>
      <c r="AQ196" s="200">
        <v>0</v>
      </c>
      <c r="AR196" s="200">
        <f>AP196+AQ196</f>
        <v>0</v>
      </c>
      <c r="AS196" s="203">
        <f t="shared" si="265"/>
        <v>123</v>
      </c>
      <c r="AT196" s="200">
        <f t="shared" si="266"/>
        <v>0</v>
      </c>
      <c r="AU196" s="199">
        <f t="shared" si="267"/>
        <v>0</v>
      </c>
      <c r="AV196" s="200">
        <f t="shared" si="253"/>
        <v>0</v>
      </c>
      <c r="AW196" s="199">
        <f t="shared" si="254"/>
        <v>0</v>
      </c>
      <c r="AX196" s="204">
        <v>123</v>
      </c>
      <c r="AY196" s="204">
        <f t="shared" si="197"/>
        <v>0</v>
      </c>
      <c r="AZ196" s="304">
        <f t="shared" si="198"/>
        <v>0</v>
      </c>
      <c r="BA196" s="560">
        <v>123</v>
      </c>
      <c r="BB196" s="560">
        <v>123</v>
      </c>
      <c r="BC196" s="560">
        <f t="shared" si="268"/>
        <v>0</v>
      </c>
      <c r="BD196" s="304">
        <f t="shared" si="269"/>
        <v>0</v>
      </c>
      <c r="BE196" s="204">
        <v>126</v>
      </c>
      <c r="BF196" s="204">
        <f t="shared" si="255"/>
        <v>3</v>
      </c>
      <c r="BG196" s="304">
        <f t="shared" si="256"/>
        <v>2.4390243902439025E-2</v>
      </c>
      <c r="BH196" s="200"/>
      <c r="BI196" s="200"/>
      <c r="BJ196" s="200"/>
      <c r="BK196" s="200"/>
      <c r="BL196" s="206">
        <f t="shared" si="201"/>
        <v>126</v>
      </c>
      <c r="BM196" s="206">
        <f t="shared" si="257"/>
        <v>3</v>
      </c>
      <c r="BN196" s="206">
        <v>126</v>
      </c>
      <c r="BO196" s="206">
        <v>126</v>
      </c>
      <c r="BP196" s="206">
        <f t="shared" si="191"/>
        <v>0</v>
      </c>
      <c r="BQ196" s="199">
        <f t="shared" si="258"/>
        <v>2.4390243902439025E-2</v>
      </c>
      <c r="BR196" s="205">
        <f t="shared" si="192"/>
        <v>0</v>
      </c>
      <c r="BT196" s="200"/>
      <c r="BU196" s="200"/>
      <c r="BV196" s="200"/>
      <c r="BW196" s="200">
        <f t="shared" si="259"/>
        <v>126</v>
      </c>
      <c r="BX196" s="206">
        <v>126</v>
      </c>
      <c r="BY196" s="206"/>
      <c r="BZ196" s="206">
        <v>126</v>
      </c>
      <c r="CA196" s="206">
        <f t="shared" si="205"/>
        <v>0</v>
      </c>
      <c r="CB196" s="199">
        <f t="shared" si="270"/>
        <v>0</v>
      </c>
      <c r="CC196" s="206">
        <v>126</v>
      </c>
      <c r="CD196" s="206">
        <v>126</v>
      </c>
      <c r="CE196" s="206"/>
      <c r="CF196" s="206">
        <f t="shared" ref="CF196:CF199" si="276">CD196+CE196</f>
        <v>126</v>
      </c>
      <c r="CG196" s="206">
        <f t="shared" si="260"/>
        <v>0</v>
      </c>
      <c r="CH196" s="304">
        <f t="shared" si="271"/>
        <v>0</v>
      </c>
      <c r="CI196" s="206">
        <v>127</v>
      </c>
      <c r="CJ196" s="206"/>
      <c r="CK196" s="206">
        <f t="shared" si="261"/>
        <v>127</v>
      </c>
      <c r="CL196" s="206">
        <f t="shared" si="184"/>
        <v>1</v>
      </c>
      <c r="CM196" s="608">
        <f t="shared" si="262"/>
        <v>7.9365079365079361E-3</v>
      </c>
      <c r="CN196" s="66">
        <v>127</v>
      </c>
      <c r="CO196" s="206">
        <f t="shared" si="185"/>
        <v>0</v>
      </c>
      <c r="CP196" s="304">
        <f>CO196/CK196</f>
        <v>0</v>
      </c>
    </row>
    <row r="197" spans="1:94" ht="17.25" customHeight="1" x14ac:dyDescent="0.25">
      <c r="A197" s="313" t="s">
        <v>299</v>
      </c>
      <c r="B197" s="302">
        <v>135531</v>
      </c>
      <c r="C197" s="302">
        <v>163073</v>
      </c>
      <c r="D197" s="416">
        <f t="shared" si="273"/>
        <v>27542</v>
      </c>
      <c r="E197" s="563">
        <f>(C197-B197)/B197</f>
        <v>0.2032155005127978</v>
      </c>
      <c r="F197" s="204">
        <v>148493</v>
      </c>
      <c r="G197" s="204">
        <f t="shared" si="274"/>
        <v>-14580</v>
      </c>
      <c r="H197" s="199">
        <f>(F197-C197)/C197</f>
        <v>-8.9407811225647407E-2</v>
      </c>
      <c r="I197" s="204">
        <v>154531</v>
      </c>
      <c r="J197" s="204">
        <f t="shared" si="275"/>
        <v>6038</v>
      </c>
      <c r="K197" s="199">
        <f>(I197-F197)/F197</f>
        <v>4.0661849380105461E-2</v>
      </c>
      <c r="L197" s="204">
        <v>159122</v>
      </c>
      <c r="M197" s="204">
        <v>4591</v>
      </c>
      <c r="N197" s="304">
        <v>2.9709249276844128E-2</v>
      </c>
      <c r="O197" s="204">
        <v>165303</v>
      </c>
      <c r="P197" s="204">
        <f t="shared" si="263"/>
        <v>6181</v>
      </c>
      <c r="Q197" s="304">
        <f>P197/L197</f>
        <v>3.8844408692701199E-2</v>
      </c>
      <c r="R197" s="204">
        <v>187615</v>
      </c>
      <c r="S197" s="204">
        <f t="shared" si="245"/>
        <v>22312</v>
      </c>
      <c r="T197" s="304">
        <f>S197/O197</f>
        <v>0.1349763767142762</v>
      </c>
      <c r="U197" s="204">
        <v>198484</v>
      </c>
      <c r="V197" s="204">
        <f t="shared" si="264"/>
        <v>10869</v>
      </c>
      <c r="W197" s="304">
        <f t="shared" si="272"/>
        <v>5.7932468086240439E-2</v>
      </c>
      <c r="X197" s="201">
        <v>214905</v>
      </c>
      <c r="Y197" s="204">
        <f t="shared" si="246"/>
        <v>16421</v>
      </c>
      <c r="Z197" s="484">
        <f t="shared" si="247"/>
        <v>8.2732109389169903E-2</v>
      </c>
      <c r="AA197" s="203">
        <v>230499</v>
      </c>
      <c r="AB197" s="374">
        <f t="shared" si="248"/>
        <v>15594</v>
      </c>
      <c r="AC197" s="205">
        <f t="shared" si="249"/>
        <v>7.2562294967543794E-2</v>
      </c>
      <c r="AD197" s="200">
        <v>231668</v>
      </c>
      <c r="AE197" s="200">
        <v>12000</v>
      </c>
      <c r="AF197" s="204">
        <v>243668</v>
      </c>
      <c r="AG197" s="204">
        <f t="shared" si="250"/>
        <v>13169</v>
      </c>
      <c r="AH197" s="304">
        <f t="shared" si="251"/>
        <v>5.7132568904854249E-2</v>
      </c>
      <c r="AI197" s="200">
        <f>AF197</f>
        <v>243668</v>
      </c>
      <c r="AJ197" s="319">
        <f>AF197</f>
        <v>243668</v>
      </c>
      <c r="AK197" s="68">
        <v>237998</v>
      </c>
      <c r="AL197" s="354"/>
      <c r="AM197" s="204">
        <f t="shared" si="252"/>
        <v>237998</v>
      </c>
      <c r="AN197" s="66">
        <v>233268</v>
      </c>
      <c r="AO197" s="66">
        <v>245268</v>
      </c>
      <c r="AP197" s="200">
        <v>0</v>
      </c>
      <c r="AQ197" s="200">
        <v>0</v>
      </c>
      <c r="AR197" s="200">
        <f>AP197+AQ197</f>
        <v>0</v>
      </c>
      <c r="AS197" s="203">
        <f t="shared" si="265"/>
        <v>257703</v>
      </c>
      <c r="AT197" s="200">
        <f t="shared" si="266"/>
        <v>14035</v>
      </c>
      <c r="AU197" s="199">
        <f t="shared" si="267"/>
        <v>5.7598864028103811E-2</v>
      </c>
      <c r="AV197" s="200">
        <f t="shared" si="253"/>
        <v>14035</v>
      </c>
      <c r="AW197" s="199">
        <f t="shared" si="254"/>
        <v>5.7598864028103811E-2</v>
      </c>
      <c r="AX197" s="204">
        <v>257703</v>
      </c>
      <c r="AY197" s="204">
        <f t="shared" si="197"/>
        <v>14035</v>
      </c>
      <c r="AZ197" s="304">
        <f t="shared" si="198"/>
        <v>5.7598864028103811E-2</v>
      </c>
      <c r="BB197" s="200">
        <v>257703</v>
      </c>
      <c r="BC197" s="560">
        <f t="shared" si="268"/>
        <v>-257703</v>
      </c>
      <c r="BE197" s="204">
        <v>221339</v>
      </c>
      <c r="BF197" s="204">
        <f t="shared" si="255"/>
        <v>-36364</v>
      </c>
      <c r="BG197" s="304">
        <f t="shared" si="256"/>
        <v>-0.1411081749145334</v>
      </c>
      <c r="BH197" s="200"/>
      <c r="BI197" s="200"/>
      <c r="BJ197" s="200"/>
      <c r="BK197" s="200"/>
      <c r="BL197" s="206">
        <f t="shared" si="201"/>
        <v>221339</v>
      </c>
      <c r="BM197" s="206">
        <f t="shared" si="257"/>
        <v>-36364</v>
      </c>
      <c r="BN197" s="206">
        <f>288224-50600</f>
        <v>237624</v>
      </c>
      <c r="BO197" s="206">
        <f>286937-50600</f>
        <v>236337</v>
      </c>
      <c r="BP197" s="206">
        <f t="shared" si="191"/>
        <v>14998</v>
      </c>
      <c r="BQ197" s="199">
        <f t="shared" si="258"/>
        <v>-0.1411081749145334</v>
      </c>
      <c r="BR197" s="205">
        <f t="shared" si="192"/>
        <v>6.7760313365471059E-2</v>
      </c>
      <c r="BT197" s="200"/>
      <c r="BU197" s="200"/>
      <c r="BV197" s="200"/>
      <c r="BW197" s="200">
        <f t="shared" si="259"/>
        <v>237624</v>
      </c>
      <c r="BX197" s="206">
        <f>286937</f>
        <v>286937</v>
      </c>
      <c r="BY197" s="206">
        <v>4209</v>
      </c>
      <c r="BZ197" s="206">
        <v>284851</v>
      </c>
      <c r="CA197" s="206">
        <f t="shared" si="205"/>
        <v>63512</v>
      </c>
      <c r="CB197" s="199">
        <f t="shared" si="270"/>
        <v>0.28694446075928781</v>
      </c>
      <c r="CC197" s="206">
        <f>300500</f>
        <v>300500</v>
      </c>
      <c r="CD197" s="206">
        <v>301088</v>
      </c>
      <c r="CE197" s="206">
        <v>12529</v>
      </c>
      <c r="CF197" s="206">
        <v>309436</v>
      </c>
      <c r="CG197" s="206">
        <f t="shared" si="260"/>
        <v>24585</v>
      </c>
      <c r="CH197" s="304">
        <f t="shared" si="271"/>
        <v>8.6308280469438406E-2</v>
      </c>
      <c r="CI197" s="206">
        <f>330520</f>
        <v>330520</v>
      </c>
      <c r="CJ197" s="206"/>
      <c r="CK197" s="206">
        <f t="shared" si="261"/>
        <v>330520</v>
      </c>
      <c r="CL197" s="206">
        <f t="shared" si="184"/>
        <v>21084</v>
      </c>
      <c r="CM197" s="608">
        <f t="shared" si="262"/>
        <v>6.8136868366964407E-2</v>
      </c>
      <c r="CN197" s="200">
        <f>372213+1000</f>
        <v>373213</v>
      </c>
      <c r="CO197" s="206">
        <f t="shared" si="185"/>
        <v>42693</v>
      </c>
      <c r="CP197" s="304">
        <f>CO197/CK197</f>
        <v>0.1291691879462665</v>
      </c>
    </row>
    <row r="198" spans="1:94" ht="17.25" customHeight="1" x14ac:dyDescent="0.25">
      <c r="A198" s="312" t="s">
        <v>300</v>
      </c>
      <c r="B198" s="302"/>
      <c r="C198" s="302"/>
      <c r="D198" s="416"/>
      <c r="E198" s="563"/>
      <c r="F198" s="204"/>
      <c r="G198" s="204"/>
      <c r="I198" s="204"/>
      <c r="J198" s="204"/>
      <c r="L198" s="204"/>
      <c r="M198" s="204"/>
      <c r="N198" s="304"/>
      <c r="O198" s="204"/>
      <c r="P198" s="204"/>
      <c r="Q198" s="304"/>
      <c r="R198" s="204"/>
      <c r="S198" s="204"/>
      <c r="T198" s="304"/>
      <c r="U198" s="204"/>
      <c r="V198" s="204"/>
      <c r="W198" s="304"/>
      <c r="Y198" s="204"/>
      <c r="AB198" s="374"/>
      <c r="AD198" s="200"/>
      <c r="AE198" s="200"/>
      <c r="AH198" s="304"/>
      <c r="AI198" s="200"/>
      <c r="AJ198" s="319"/>
      <c r="AK198" s="68"/>
      <c r="AL198" s="354"/>
      <c r="AM198" s="204"/>
      <c r="AP198" s="200"/>
      <c r="AQ198" s="200"/>
      <c r="AR198" s="200"/>
      <c r="AS198" s="203">
        <f t="shared" si="265"/>
        <v>0</v>
      </c>
      <c r="AT198" s="200"/>
      <c r="AU198" s="199"/>
      <c r="AV198" s="200"/>
      <c r="AW198" s="199"/>
      <c r="BA198" s="591">
        <f>245703.034+12000</f>
        <v>257703.03400000001</v>
      </c>
      <c r="BB198" s="591"/>
      <c r="BC198" s="560">
        <f t="shared" si="268"/>
        <v>257703.03400000001</v>
      </c>
      <c r="BD198" s="304">
        <f t="shared" si="269"/>
        <v>1</v>
      </c>
      <c r="BH198" s="200"/>
      <c r="BI198" s="200"/>
      <c r="BJ198" s="200"/>
      <c r="BK198" s="200"/>
      <c r="BL198" s="206"/>
      <c r="BM198" s="206"/>
      <c r="BN198" s="206"/>
      <c r="BO198" s="206"/>
      <c r="BP198" s="206">
        <f t="shared" si="191"/>
        <v>0</v>
      </c>
      <c r="BQ198" s="199"/>
      <c r="BR198" s="205" t="e">
        <f t="shared" si="192"/>
        <v>#DIV/0!</v>
      </c>
      <c r="BT198" s="200"/>
      <c r="BU198" s="200"/>
      <c r="BV198" s="200"/>
      <c r="BW198" s="200">
        <f t="shared" si="259"/>
        <v>0</v>
      </c>
      <c r="BX198" s="206"/>
      <c r="BY198" s="206"/>
      <c r="BZ198" s="206">
        <f t="shared" ref="BZ198:BZ199" si="277">BX198+BY198</f>
        <v>0</v>
      </c>
      <c r="CA198" s="206">
        <f t="shared" si="205"/>
        <v>0</v>
      </c>
      <c r="CB198" s="199"/>
      <c r="CC198" s="206"/>
      <c r="CD198" s="206"/>
      <c r="CE198" s="206"/>
      <c r="CF198" s="206">
        <f t="shared" si="276"/>
        <v>0</v>
      </c>
      <c r="CG198" s="206">
        <f t="shared" si="260"/>
        <v>0</v>
      </c>
      <c r="CH198" s="304" t="e">
        <f t="shared" si="271"/>
        <v>#DIV/0!</v>
      </c>
      <c r="CI198" s="206"/>
      <c r="CJ198" s="206"/>
      <c r="CK198" s="206">
        <f t="shared" si="261"/>
        <v>0</v>
      </c>
      <c r="CL198" s="206">
        <f t="shared" si="184"/>
        <v>0</v>
      </c>
      <c r="CM198" s="608" t="e">
        <f t="shared" si="262"/>
        <v>#DIV/0!</v>
      </c>
      <c r="CO198" s="206">
        <f t="shared" si="185"/>
        <v>0</v>
      </c>
      <c r="CP198" s="304" t="e">
        <f>CO198/CK198</f>
        <v>#DIV/0!</v>
      </c>
    </row>
    <row r="199" spans="1:94" s="211" customFormat="1" ht="17.25" customHeight="1" thickBot="1" x14ac:dyDescent="0.3">
      <c r="A199" s="438" t="s">
        <v>301</v>
      </c>
      <c r="B199" s="326">
        <v>3050</v>
      </c>
      <c r="C199" s="326">
        <v>2973</v>
      </c>
      <c r="D199" s="650">
        <f t="shared" si="273"/>
        <v>-77</v>
      </c>
      <c r="E199" s="651">
        <f>(C199-B199)/B199</f>
        <v>-2.5245901639344263E-2</v>
      </c>
      <c r="F199" s="327">
        <v>2894</v>
      </c>
      <c r="G199" s="327">
        <f t="shared" si="274"/>
        <v>-79</v>
      </c>
      <c r="H199" s="212">
        <f>(F199-C199)/C199</f>
        <v>-2.6572485704675412E-2</v>
      </c>
      <c r="I199" s="327">
        <v>3803</v>
      </c>
      <c r="J199" s="327">
        <f t="shared" si="275"/>
        <v>909</v>
      </c>
      <c r="K199" s="212">
        <f>(I199-F199)/F199</f>
        <v>0.3140981340704907</v>
      </c>
      <c r="L199" s="327">
        <v>4309</v>
      </c>
      <c r="M199" s="327">
        <v>506</v>
      </c>
      <c r="N199" s="328">
        <v>0.13305285301078096</v>
      </c>
      <c r="O199" s="327">
        <v>4657</v>
      </c>
      <c r="P199" s="327">
        <f t="shared" si="263"/>
        <v>348</v>
      </c>
      <c r="Q199" s="328">
        <f>P199/L199</f>
        <v>8.0761197493618014E-2</v>
      </c>
      <c r="R199" s="327">
        <v>5169</v>
      </c>
      <c r="S199" s="327">
        <f t="shared" si="245"/>
        <v>512</v>
      </c>
      <c r="T199" s="328">
        <f>S199/O199</f>
        <v>0.1099420227614344</v>
      </c>
      <c r="U199" s="327">
        <v>5092</v>
      </c>
      <c r="V199" s="327">
        <f t="shared" si="264"/>
        <v>-77</v>
      </c>
      <c r="W199" s="328">
        <f t="shared" si="272"/>
        <v>-1.489649835558135E-2</v>
      </c>
      <c r="X199" s="592">
        <v>5420</v>
      </c>
      <c r="Y199" s="327">
        <f t="shared" si="246"/>
        <v>328</v>
      </c>
      <c r="Z199" s="594">
        <f t="shared" si="247"/>
        <v>6.4414768263943434E-2</v>
      </c>
      <c r="AA199" s="428">
        <v>7866</v>
      </c>
      <c r="AB199" s="450">
        <f t="shared" si="248"/>
        <v>2446</v>
      </c>
      <c r="AC199" s="334">
        <f t="shared" si="249"/>
        <v>0.45129151291512914</v>
      </c>
      <c r="AD199" s="331">
        <v>7668</v>
      </c>
      <c r="AE199" s="331"/>
      <c r="AF199" s="327">
        <v>6326</v>
      </c>
      <c r="AG199" s="327">
        <f t="shared" si="250"/>
        <v>-1540</v>
      </c>
      <c r="AH199" s="328">
        <f t="shared" si="251"/>
        <v>-0.19577930333079074</v>
      </c>
      <c r="AI199" s="331">
        <f>AF199-460</f>
        <v>5866</v>
      </c>
      <c r="AJ199" s="331">
        <f>AF199-460</f>
        <v>5866</v>
      </c>
      <c r="AK199" s="211">
        <v>7668</v>
      </c>
      <c r="AL199" s="451"/>
      <c r="AM199" s="327">
        <f t="shared" si="252"/>
        <v>7668</v>
      </c>
      <c r="AN199" s="211">
        <v>6058</v>
      </c>
      <c r="AO199" s="211">
        <v>6058</v>
      </c>
      <c r="AP199" s="331">
        <v>0</v>
      </c>
      <c r="AQ199" s="331">
        <v>0</v>
      </c>
      <c r="AR199" s="331">
        <f>AP199+AQ199</f>
        <v>0</v>
      </c>
      <c r="AS199" s="428">
        <f t="shared" si="265"/>
        <v>6007.3223399999997</v>
      </c>
      <c r="AT199" s="331">
        <f t="shared" si="266"/>
        <v>-318.67766000000029</v>
      </c>
      <c r="AU199" s="212">
        <f t="shared" si="267"/>
        <v>-5.0375855200758816E-2</v>
      </c>
      <c r="AV199" s="331">
        <f t="shared" si="253"/>
        <v>-318.67766000000029</v>
      </c>
      <c r="AW199" s="212">
        <f t="shared" si="254"/>
        <v>-5.0375855200758816E-2</v>
      </c>
      <c r="AX199" s="327">
        <v>6058</v>
      </c>
      <c r="AY199" s="327">
        <f t="shared" si="197"/>
        <v>-268</v>
      </c>
      <c r="AZ199" s="328">
        <f t="shared" si="198"/>
        <v>-4.2364843503003478E-2</v>
      </c>
      <c r="BA199" s="595">
        <v>6058</v>
      </c>
      <c r="BB199" s="595">
        <v>6007.3223399999997</v>
      </c>
      <c r="BC199" s="595">
        <f t="shared" si="268"/>
        <v>50.677660000000287</v>
      </c>
      <c r="BD199" s="328">
        <f t="shared" si="269"/>
        <v>8.3654110267415462E-3</v>
      </c>
      <c r="BE199" s="327">
        <v>0</v>
      </c>
      <c r="BF199" s="327">
        <f>BE199-AX199</f>
        <v>-6058</v>
      </c>
      <c r="BG199" s="328">
        <f>BF199/AX199</f>
        <v>-1</v>
      </c>
      <c r="BH199" s="331"/>
      <c r="BI199" s="331"/>
      <c r="BJ199" s="331"/>
      <c r="BK199" s="331"/>
      <c r="BL199" s="333">
        <f t="shared" si="201"/>
        <v>0</v>
      </c>
      <c r="BM199" s="333">
        <f>BL199-AS199</f>
        <v>-6007.3223399999997</v>
      </c>
      <c r="BN199" s="333">
        <v>0</v>
      </c>
      <c r="BO199" s="333"/>
      <c r="BP199" s="333">
        <f t="shared" si="191"/>
        <v>0</v>
      </c>
      <c r="BQ199" s="212">
        <f>BM199/AS199</f>
        <v>-1</v>
      </c>
      <c r="BR199" s="334" t="e">
        <f t="shared" si="192"/>
        <v>#DIV/0!</v>
      </c>
      <c r="BS199" s="333"/>
      <c r="BT199" s="331"/>
      <c r="BU199" s="331"/>
      <c r="BV199" s="331"/>
      <c r="BW199" s="331">
        <f t="shared" si="259"/>
        <v>0</v>
      </c>
      <c r="BX199" s="333">
        <v>0</v>
      </c>
      <c r="BY199" s="333"/>
      <c r="BZ199" s="333">
        <f t="shared" si="277"/>
        <v>0</v>
      </c>
      <c r="CA199" s="333">
        <f t="shared" si="205"/>
        <v>0</v>
      </c>
      <c r="CB199" s="212" t="e">
        <f t="shared" si="270"/>
        <v>#DIV/0!</v>
      </c>
      <c r="CC199" s="333"/>
      <c r="CD199" s="333"/>
      <c r="CE199" s="333"/>
      <c r="CF199" s="206">
        <f t="shared" si="276"/>
        <v>0</v>
      </c>
      <c r="CG199" s="333">
        <f t="shared" si="260"/>
        <v>0</v>
      </c>
      <c r="CH199" s="304" t="e">
        <f t="shared" si="271"/>
        <v>#DIV/0!</v>
      </c>
      <c r="CI199" s="333"/>
      <c r="CJ199" s="413"/>
      <c r="CK199" s="413">
        <f t="shared" si="261"/>
        <v>0</v>
      </c>
      <c r="CL199" s="206">
        <f t="shared" si="184"/>
        <v>0</v>
      </c>
      <c r="CM199" s="608" t="e">
        <f t="shared" si="262"/>
        <v>#DIV/0!</v>
      </c>
      <c r="CO199" s="206">
        <f t="shared" si="185"/>
        <v>0</v>
      </c>
      <c r="CP199" s="304" t="e">
        <f>CO199/CK199</f>
        <v>#DIV/0!</v>
      </c>
    </row>
    <row r="200" spans="1:94" s="144" customFormat="1" ht="18" customHeight="1" x14ac:dyDescent="0.25">
      <c r="A200" s="335" t="s">
        <v>302</v>
      </c>
      <c r="B200" s="349">
        <f t="shared" ref="B200:I200" si="278">SUM(B191:B199)</f>
        <v>268876</v>
      </c>
      <c r="C200" s="349">
        <f t="shared" si="278"/>
        <v>295866</v>
      </c>
      <c r="D200" s="619">
        <f t="shared" si="273"/>
        <v>26990</v>
      </c>
      <c r="E200" s="619">
        <f>(C200-B200)/B200</f>
        <v>0.10038084470164686</v>
      </c>
      <c r="F200" s="349">
        <f t="shared" si="278"/>
        <v>308069</v>
      </c>
      <c r="G200" s="352">
        <f t="shared" si="274"/>
        <v>12203</v>
      </c>
      <c r="H200" s="352">
        <f>(F200-C200)/C200</f>
        <v>4.1245023084774866E-2</v>
      </c>
      <c r="I200" s="349">
        <f t="shared" si="278"/>
        <v>309536</v>
      </c>
      <c r="J200" s="352">
        <f t="shared" si="275"/>
        <v>1467</v>
      </c>
      <c r="K200" s="352">
        <f>(I200-F200)/F200</f>
        <v>4.7619202191716793E-3</v>
      </c>
      <c r="L200" s="349">
        <f>SUM(L191:L199)</f>
        <v>316597</v>
      </c>
      <c r="M200" s="349">
        <v>7952</v>
      </c>
      <c r="N200" s="349">
        <v>2.5930322042078079E-2</v>
      </c>
      <c r="O200" s="349">
        <f>SUM(O191:O199)+68000+4300</f>
        <v>405603</v>
      </c>
      <c r="P200" s="349">
        <f>O200-L200</f>
        <v>89006</v>
      </c>
      <c r="Q200" s="349">
        <f>P200/L200</f>
        <v>0.28113342830159477</v>
      </c>
      <c r="R200" s="349">
        <f>SUM(R191:R199)</f>
        <v>366801</v>
      </c>
      <c r="S200" s="349">
        <f t="shared" si="245"/>
        <v>-38802</v>
      </c>
      <c r="T200" s="349">
        <f>S200/O200</f>
        <v>-9.5664972892212333E-2</v>
      </c>
      <c r="U200" s="349">
        <f>SUM(U191:U199)</f>
        <v>429972</v>
      </c>
      <c r="V200" s="349">
        <f t="shared" si="264"/>
        <v>63171</v>
      </c>
      <c r="W200" s="349">
        <f t="shared" si="272"/>
        <v>0.17222144977794498</v>
      </c>
      <c r="X200" s="619">
        <f>SUM(X191:X199)</f>
        <v>563777</v>
      </c>
      <c r="Y200" s="349">
        <f t="shared" si="246"/>
        <v>133805</v>
      </c>
      <c r="Z200" s="622">
        <f t="shared" si="247"/>
        <v>0.31119468244443826</v>
      </c>
      <c r="AA200" s="349">
        <f>SUM(AA191:AA199)</f>
        <v>602284</v>
      </c>
      <c r="AB200" s="350">
        <f t="shared" si="248"/>
        <v>38507</v>
      </c>
      <c r="AC200" s="349">
        <f t="shared" si="249"/>
        <v>6.8301828559873851E-2</v>
      </c>
      <c r="AD200" s="349">
        <f>SUM(AD191:AD199)</f>
        <v>400603</v>
      </c>
      <c r="AE200" s="349">
        <f>SUM(AE191:AE199)</f>
        <v>178613</v>
      </c>
      <c r="AF200" s="349">
        <f>SUM(AF191:AF199)</f>
        <v>560203</v>
      </c>
      <c r="AG200" s="352">
        <f t="shared" si="250"/>
        <v>-42081</v>
      </c>
      <c r="AH200" s="352">
        <f t="shared" si="251"/>
        <v>-6.9869031885289992E-2</v>
      </c>
      <c r="AI200" s="349">
        <f t="shared" ref="AI200:AN200" si="279">SUM(AI191:AI199)</f>
        <v>555356</v>
      </c>
      <c r="AJ200" s="349">
        <f t="shared" si="279"/>
        <v>558996</v>
      </c>
      <c r="AK200" s="349">
        <f t="shared" si="279"/>
        <v>413005</v>
      </c>
      <c r="AL200" s="349">
        <f t="shared" si="279"/>
        <v>7540</v>
      </c>
      <c r="AM200" s="352">
        <f t="shared" si="279"/>
        <v>420545</v>
      </c>
      <c r="AN200" s="352">
        <f t="shared" si="279"/>
        <v>373289</v>
      </c>
      <c r="AO200" s="349">
        <f>SUM(AO191:AO199)</f>
        <v>535860</v>
      </c>
      <c r="AP200" s="349">
        <f>SUM(AP191:AP199)</f>
        <v>0</v>
      </c>
      <c r="AQ200" s="349">
        <f>SUM(AQ191:AQ199)</f>
        <v>0</v>
      </c>
      <c r="AR200" s="352">
        <f>AP200+AQ200</f>
        <v>0</v>
      </c>
      <c r="AS200" s="352">
        <f>BB200+AR200</f>
        <v>538838.46692999988</v>
      </c>
      <c r="AT200" s="352">
        <f t="shared" si="266"/>
        <v>-21364.533070000121</v>
      </c>
      <c r="AU200" s="352">
        <f t="shared" si="267"/>
        <v>-3.8137127202103743E-2</v>
      </c>
      <c r="AV200" s="349">
        <f t="shared" si="253"/>
        <v>-21364.533070000121</v>
      </c>
      <c r="AW200" s="349">
        <f t="shared" si="254"/>
        <v>-3.8137127202103743E-2</v>
      </c>
      <c r="AX200" s="349">
        <f>SUM(AX191:AX199)</f>
        <v>550491</v>
      </c>
      <c r="AY200" s="352">
        <f t="shared" si="197"/>
        <v>-9712</v>
      </c>
      <c r="AZ200" s="352">
        <f t="shared" si="198"/>
        <v>-1.7336572635276853E-2</v>
      </c>
      <c r="BA200" s="352"/>
      <c r="BB200" s="352">
        <f>SUM(BB191:BB199)</f>
        <v>538838.46692999988</v>
      </c>
      <c r="BC200" s="352"/>
      <c r="BD200" s="352"/>
      <c r="BE200" s="349">
        <f>SUM(BE191:BE199)</f>
        <v>535086</v>
      </c>
      <c r="BF200" s="352">
        <f>BE200-AX200</f>
        <v>-15405</v>
      </c>
      <c r="BG200" s="352">
        <f>BF200/AX200</f>
        <v>-2.7984108732022867E-2</v>
      </c>
      <c r="BH200" s="352">
        <f>SUM(BH191:BH199)</f>
        <v>0</v>
      </c>
      <c r="BI200" s="352"/>
      <c r="BJ200" s="352"/>
      <c r="BK200" s="352">
        <f>SUM(BK191:BK199)</f>
        <v>0</v>
      </c>
      <c r="BL200" s="352">
        <f t="shared" si="201"/>
        <v>535086</v>
      </c>
      <c r="BM200" s="352">
        <f>BL200-AS200</f>
        <v>-3752.4669299998786</v>
      </c>
      <c r="BN200" s="352">
        <f>SUM(BN191:BN199)</f>
        <v>574847</v>
      </c>
      <c r="BO200" s="352">
        <f>SUM(BO191:BO199)</f>
        <v>571299</v>
      </c>
      <c r="BP200" s="352">
        <f t="shared" si="191"/>
        <v>36213</v>
      </c>
      <c r="BQ200" s="352">
        <f>BM200/AS200</f>
        <v>-6.9639922913806353E-3</v>
      </c>
      <c r="BR200" s="352">
        <f t="shared" si="192"/>
        <v>6.7676971552236467E-2</v>
      </c>
      <c r="BS200" s="349"/>
      <c r="BT200" s="349"/>
      <c r="BU200" s="349"/>
      <c r="BV200" s="349"/>
      <c r="BW200" s="352">
        <f>BW191+BW192+BW193+BW194+BW195+BW196+BW197</f>
        <v>574847</v>
      </c>
      <c r="BX200" s="352">
        <f>SUM(BX191:BX199)</f>
        <v>573499</v>
      </c>
      <c r="BY200" s="352"/>
      <c r="BZ200" s="352">
        <f>SUM(BZ191:BZ199)</f>
        <v>550523</v>
      </c>
      <c r="CA200" s="352">
        <f t="shared" si="205"/>
        <v>15437</v>
      </c>
      <c r="CB200" s="339">
        <f t="shared" si="270"/>
        <v>2.8849568106808998E-2</v>
      </c>
      <c r="CC200" s="352">
        <f>SUM(CC191:CC199)</f>
        <v>618451</v>
      </c>
      <c r="CD200" s="352">
        <f>SUM(CD191:CD199)</f>
        <v>623396</v>
      </c>
      <c r="CE200" s="352">
        <f>SUM(CE191:CE199)</f>
        <v>25962</v>
      </c>
      <c r="CF200" s="600">
        <f>CD200+CE200</f>
        <v>649358</v>
      </c>
      <c r="CG200" s="368">
        <f t="shared" si="260"/>
        <v>98835</v>
      </c>
      <c r="CH200" s="601">
        <f t="shared" si="271"/>
        <v>0.17952928397178683</v>
      </c>
      <c r="CI200" s="353">
        <f t="shared" ref="CI200" si="280">SUM(CI191:CI199)</f>
        <v>688344</v>
      </c>
      <c r="CJ200" s="353"/>
      <c r="CK200" s="353">
        <f>SUM(CK191:CK199)</f>
        <v>688344</v>
      </c>
      <c r="CL200" s="368">
        <f t="shared" si="184"/>
        <v>38986</v>
      </c>
      <c r="CM200" s="616">
        <f t="shared" si="262"/>
        <v>6.0037760372552582E-2</v>
      </c>
      <c r="CN200" s="353">
        <f>SUM(CN191:CN199)</f>
        <v>734314</v>
      </c>
      <c r="CO200" s="368">
        <f t="shared" si="185"/>
        <v>45970</v>
      </c>
      <c r="CP200" s="787">
        <f>CO200/CK200</f>
        <v>6.6783468730750903E-2</v>
      </c>
    </row>
    <row r="201" spans="1:94" s="144" customFormat="1" ht="18" customHeight="1" x14ac:dyDescent="0.25">
      <c r="A201" s="335"/>
      <c r="D201" s="416"/>
      <c r="E201" s="563"/>
      <c r="G201" s="204"/>
      <c r="H201" s="199"/>
      <c r="J201" s="204"/>
      <c r="K201" s="199"/>
      <c r="L201" s="354"/>
      <c r="M201" s="354"/>
      <c r="N201" s="355"/>
      <c r="O201" s="354"/>
      <c r="P201" s="354"/>
      <c r="Q201" s="355"/>
      <c r="R201" s="354"/>
      <c r="S201" s="354"/>
      <c r="T201" s="355"/>
      <c r="U201" s="354"/>
      <c r="V201" s="354"/>
      <c r="W201" s="355"/>
      <c r="X201" s="357"/>
      <c r="Y201" s="354"/>
      <c r="Z201" s="605"/>
      <c r="AA201" s="354"/>
      <c r="AB201" s="606"/>
      <c r="AC201" s="607"/>
      <c r="AD201" s="360"/>
      <c r="AE201" s="360"/>
      <c r="AF201" s="354"/>
      <c r="AG201" s="204"/>
      <c r="AH201" s="304"/>
      <c r="AI201" s="360"/>
      <c r="AJ201" s="360"/>
      <c r="AK201" s="360"/>
      <c r="AL201" s="360"/>
      <c r="AM201" s="204"/>
      <c r="AN201" s="204"/>
      <c r="AT201" s="360"/>
      <c r="AU201" s="199"/>
      <c r="AW201" s="603"/>
      <c r="AX201" s="354"/>
      <c r="AY201" s="204"/>
      <c r="AZ201" s="304"/>
      <c r="BA201" s="304"/>
      <c r="BB201" s="304"/>
      <c r="BC201" s="304"/>
      <c r="BD201" s="304"/>
      <c r="BE201" s="354"/>
      <c r="BF201" s="204"/>
      <c r="BG201" s="304"/>
      <c r="BH201" s="200"/>
      <c r="BI201" s="200"/>
      <c r="BJ201" s="200"/>
      <c r="BK201" s="200"/>
      <c r="BL201" s="206"/>
      <c r="BM201" s="206"/>
      <c r="BN201" s="206"/>
      <c r="BO201" s="206"/>
      <c r="BP201" s="206">
        <f t="shared" si="191"/>
        <v>0</v>
      </c>
      <c r="BQ201" s="199"/>
      <c r="BR201" s="205" t="e">
        <f t="shared" si="192"/>
        <v>#DIV/0!</v>
      </c>
      <c r="BS201" s="353"/>
      <c r="BW201" s="207">
        <f t="shared" ref="BW201:BW208" si="281">BN201+BS201+BT201+BU201+BV201</f>
        <v>0</v>
      </c>
      <c r="BX201" s="206"/>
      <c r="BY201" s="206"/>
      <c r="BZ201" s="206"/>
      <c r="CA201" s="206"/>
      <c r="CB201" s="199"/>
      <c r="CC201" s="353"/>
      <c r="CD201" s="353"/>
      <c r="CE201" s="353"/>
      <c r="CF201" s="353"/>
      <c r="CG201" s="206"/>
      <c r="CH201" s="355"/>
      <c r="CL201" s="206"/>
      <c r="CM201" s="355"/>
      <c r="CO201" s="206">
        <f t="shared" si="185"/>
        <v>0</v>
      </c>
      <c r="CP201" s="206" t="e">
        <f t="shared" si="186"/>
        <v>#DIV/0!</v>
      </c>
    </row>
    <row r="202" spans="1:94" s="144" customFormat="1" ht="18" customHeight="1" x14ac:dyDescent="0.25">
      <c r="A202" s="335"/>
      <c r="D202" s="416"/>
      <c r="E202" s="563"/>
      <c r="G202" s="204"/>
      <c r="H202" s="199"/>
      <c r="J202" s="204"/>
      <c r="K202" s="199"/>
      <c r="L202" s="354"/>
      <c r="M202" s="354"/>
      <c r="N202" s="355"/>
      <c r="O202" s="354"/>
      <c r="P202" s="354"/>
      <c r="Q202" s="355"/>
      <c r="R202" s="354"/>
      <c r="S202" s="354"/>
      <c r="T202" s="355"/>
      <c r="U202" s="354"/>
      <c r="V202" s="354"/>
      <c r="W202" s="355"/>
      <c r="X202" s="357"/>
      <c r="Y202" s="354"/>
      <c r="Z202" s="605"/>
      <c r="AA202" s="354"/>
      <c r="AB202" s="606"/>
      <c r="AC202" s="607"/>
      <c r="AD202" s="360"/>
      <c r="AE202" s="360"/>
      <c r="AF202" s="354"/>
      <c r="AG202" s="204"/>
      <c r="AH202" s="304"/>
      <c r="AI202" s="360"/>
      <c r="AJ202" s="360"/>
      <c r="AK202" s="360"/>
      <c r="AL202" s="360"/>
      <c r="AM202" s="204"/>
      <c r="AN202" s="204"/>
      <c r="AT202" s="360"/>
      <c r="AU202" s="199"/>
      <c r="AV202" s="360">
        <f>AS202-AF200</f>
        <v>-560203</v>
      </c>
      <c r="AW202" s="603">
        <f>AV202/AF200</f>
        <v>-1</v>
      </c>
      <c r="AX202" s="354"/>
      <c r="AY202" s="204"/>
      <c r="AZ202" s="304"/>
      <c r="BA202" s="304"/>
      <c r="BB202" s="304"/>
      <c r="BC202" s="304"/>
      <c r="BD202" s="304"/>
      <c r="BE202" s="354"/>
      <c r="BF202" s="204"/>
      <c r="BG202" s="304"/>
      <c r="BH202" s="200"/>
      <c r="BI202" s="200"/>
      <c r="BJ202" s="200"/>
      <c r="BK202" s="200"/>
      <c r="BL202" s="206"/>
      <c r="BM202" s="206"/>
      <c r="BN202" s="206"/>
      <c r="BO202" s="206"/>
      <c r="BP202" s="206">
        <f t="shared" si="191"/>
        <v>0</v>
      </c>
      <c r="BQ202" s="199"/>
      <c r="BR202" s="205" t="e">
        <f t="shared" si="192"/>
        <v>#DIV/0!</v>
      </c>
      <c r="BS202" s="353"/>
      <c r="BW202" s="207">
        <f t="shared" si="281"/>
        <v>0</v>
      </c>
      <c r="BX202" s="206"/>
      <c r="BY202" s="206"/>
      <c r="BZ202" s="206"/>
      <c r="CA202" s="206"/>
      <c r="CB202" s="199"/>
      <c r="CC202" s="353"/>
      <c r="CD202" s="353"/>
      <c r="CE202" s="353"/>
      <c r="CF202" s="353"/>
      <c r="CG202" s="206"/>
      <c r="CH202" s="355"/>
      <c r="CL202" s="206"/>
      <c r="CM202" s="355"/>
      <c r="CO202" s="206"/>
      <c r="CP202" s="206"/>
    </row>
    <row r="203" spans="1:94" ht="18" customHeight="1" x14ac:dyDescent="0.25">
      <c r="A203" s="363"/>
      <c r="D203" s="416"/>
      <c r="E203" s="563"/>
      <c r="G203" s="204"/>
      <c r="J203" s="204"/>
      <c r="N203" s="304"/>
      <c r="Q203" s="304"/>
      <c r="R203" s="204"/>
      <c r="S203" s="204"/>
      <c r="T203" s="304"/>
      <c r="U203" s="204"/>
      <c r="V203" s="204"/>
      <c r="W203" s="304"/>
      <c r="AB203" s="374"/>
      <c r="BH203" s="200"/>
      <c r="BI203" s="200"/>
      <c r="BJ203" s="200"/>
      <c r="BK203" s="200"/>
      <c r="BL203" s="206"/>
      <c r="BM203" s="206"/>
      <c r="BN203" s="206"/>
      <c r="BO203" s="206"/>
      <c r="BP203" s="206">
        <f t="shared" si="191"/>
        <v>0</v>
      </c>
      <c r="BQ203" s="199"/>
      <c r="BR203" s="205" t="e">
        <f t="shared" si="192"/>
        <v>#DIV/0!</v>
      </c>
      <c r="BW203" s="207">
        <f t="shared" si="281"/>
        <v>0</v>
      </c>
      <c r="BX203" s="206"/>
      <c r="BY203" s="206"/>
      <c r="BZ203" s="206"/>
      <c r="CA203" s="206"/>
      <c r="CB203" s="199"/>
      <c r="CC203" s="206"/>
      <c r="CD203" s="206"/>
      <c r="CE203" s="206"/>
      <c r="CF203" s="206"/>
      <c r="CG203" s="206"/>
      <c r="CH203" s="304"/>
      <c r="CL203" s="206"/>
      <c r="CM203" s="304"/>
      <c r="CO203" s="206"/>
      <c r="CP203" s="206"/>
    </row>
    <row r="204" spans="1:94" ht="18" customHeight="1" x14ac:dyDescent="0.25">
      <c r="A204" s="373" t="s">
        <v>303</v>
      </c>
      <c r="D204" s="416"/>
      <c r="E204" s="563"/>
      <c r="G204" s="204"/>
      <c r="J204" s="204"/>
      <c r="N204" s="304"/>
      <c r="Q204" s="304"/>
      <c r="R204" s="204"/>
      <c r="S204" s="204"/>
      <c r="T204" s="304"/>
      <c r="U204" s="204"/>
      <c r="V204" s="204"/>
      <c r="W204" s="304"/>
      <c r="AB204" s="374"/>
      <c r="BH204" s="200"/>
      <c r="BI204" s="200"/>
      <c r="BJ204" s="200"/>
      <c r="BK204" s="200"/>
      <c r="BL204" s="206"/>
      <c r="BM204" s="206"/>
      <c r="BN204" s="206"/>
      <c r="BO204" s="206"/>
      <c r="BP204" s="206">
        <f t="shared" si="191"/>
        <v>0</v>
      </c>
      <c r="BQ204" s="199"/>
      <c r="BR204" s="205" t="e">
        <f t="shared" si="192"/>
        <v>#DIV/0!</v>
      </c>
      <c r="BW204" s="207">
        <f t="shared" si="281"/>
        <v>0</v>
      </c>
      <c r="BX204" s="206"/>
      <c r="BY204" s="206"/>
      <c r="BZ204" s="206"/>
      <c r="CA204" s="206"/>
      <c r="CB204" s="199"/>
      <c r="CC204" s="206"/>
      <c r="CD204" s="206"/>
      <c r="CE204" s="206"/>
      <c r="CF204" s="206"/>
      <c r="CG204" s="206"/>
      <c r="CH204" s="304"/>
      <c r="CL204" s="206"/>
      <c r="CM204" s="304"/>
      <c r="CO204" s="206"/>
      <c r="CP204" s="206"/>
    </row>
    <row r="205" spans="1:94" ht="18" customHeight="1" x14ac:dyDescent="0.25">
      <c r="A205" s="414" t="s">
        <v>304</v>
      </c>
      <c r="D205" s="416"/>
      <c r="E205" s="563"/>
      <c r="G205" s="204"/>
      <c r="J205" s="204"/>
      <c r="N205" s="304"/>
      <c r="Q205" s="304"/>
      <c r="R205" s="204"/>
      <c r="S205" s="204"/>
      <c r="T205" s="304"/>
      <c r="U205" s="204"/>
      <c r="V205" s="204"/>
      <c r="W205" s="304"/>
      <c r="AB205" s="374"/>
      <c r="AT205" s="200"/>
      <c r="AU205" s="199"/>
      <c r="BH205" s="200"/>
      <c r="BI205" s="200"/>
      <c r="BJ205" s="200"/>
      <c r="BK205" s="200"/>
      <c r="BL205" s="206"/>
      <c r="BM205" s="206"/>
      <c r="BN205" s="206"/>
      <c r="BO205" s="206"/>
      <c r="BP205" s="206">
        <f t="shared" si="191"/>
        <v>0</v>
      </c>
      <c r="BQ205" s="199"/>
      <c r="BR205" s="205" t="e">
        <f t="shared" si="192"/>
        <v>#DIV/0!</v>
      </c>
      <c r="BW205" s="207">
        <f t="shared" si="281"/>
        <v>0</v>
      </c>
      <c r="BX205" s="206"/>
      <c r="BY205" s="206"/>
      <c r="BZ205" s="206"/>
      <c r="CA205" s="206"/>
      <c r="CB205" s="199"/>
      <c r="CC205" s="206"/>
      <c r="CD205" s="206"/>
      <c r="CE205" s="206"/>
      <c r="CF205" s="206"/>
      <c r="CG205" s="206"/>
      <c r="CH205" s="304"/>
      <c r="CL205" s="206"/>
      <c r="CM205" s="304"/>
      <c r="CO205" s="206"/>
      <c r="CP205" s="206"/>
    </row>
    <row r="206" spans="1:94" ht="18" customHeight="1" x14ac:dyDescent="0.25">
      <c r="A206" s="373" t="s">
        <v>305</v>
      </c>
      <c r="D206" s="416"/>
      <c r="E206" s="563"/>
      <c r="G206" s="204"/>
      <c r="J206" s="204"/>
      <c r="N206" s="304"/>
      <c r="Q206" s="304"/>
      <c r="R206" s="204"/>
      <c r="S206" s="204"/>
      <c r="T206" s="304"/>
      <c r="U206" s="204"/>
      <c r="V206" s="204"/>
      <c r="W206" s="304"/>
      <c r="AB206" s="374"/>
      <c r="BH206" s="200"/>
      <c r="BI206" s="200"/>
      <c r="BJ206" s="200"/>
      <c r="BK206" s="200"/>
      <c r="BL206" s="206"/>
      <c r="BM206" s="206"/>
      <c r="BN206" s="206"/>
      <c r="BO206" s="206"/>
      <c r="BP206" s="206">
        <f t="shared" si="191"/>
        <v>0</v>
      </c>
      <c r="BQ206" s="199"/>
      <c r="BR206" s="205" t="e">
        <f t="shared" si="192"/>
        <v>#DIV/0!</v>
      </c>
      <c r="BW206" s="207">
        <f t="shared" si="281"/>
        <v>0</v>
      </c>
      <c r="BX206" s="206"/>
      <c r="BY206" s="206"/>
      <c r="BZ206" s="206"/>
      <c r="CA206" s="206"/>
      <c r="CB206" s="199"/>
      <c r="CC206" s="206"/>
      <c r="CD206" s="206"/>
      <c r="CE206" s="206"/>
      <c r="CF206" s="206"/>
      <c r="CG206" s="206"/>
      <c r="CH206" s="304"/>
      <c r="CL206" s="206"/>
      <c r="CM206" s="304"/>
      <c r="CO206" s="206"/>
      <c r="CP206" s="206"/>
    </row>
    <row r="207" spans="1:94" ht="18" customHeight="1" x14ac:dyDescent="0.25">
      <c r="A207" s="373" t="s">
        <v>306</v>
      </c>
      <c r="D207" s="416"/>
      <c r="E207" s="563"/>
      <c r="G207" s="204"/>
      <c r="J207" s="204"/>
      <c r="N207" s="304"/>
      <c r="Q207" s="304"/>
      <c r="R207" s="204"/>
      <c r="S207" s="204"/>
      <c r="T207" s="304"/>
      <c r="U207" s="204"/>
      <c r="V207" s="204"/>
      <c r="W207" s="304"/>
      <c r="AB207" s="374"/>
      <c r="BH207" s="200"/>
      <c r="BI207" s="200"/>
      <c r="BJ207" s="200"/>
      <c r="BK207" s="200"/>
      <c r="BL207" s="206"/>
      <c r="BM207" s="206"/>
      <c r="BN207" s="206"/>
      <c r="BO207" s="206"/>
      <c r="BP207" s="206">
        <f t="shared" si="191"/>
        <v>0</v>
      </c>
      <c r="BQ207" s="199"/>
      <c r="BR207" s="205" t="e">
        <f t="shared" si="192"/>
        <v>#DIV/0!</v>
      </c>
      <c r="BW207" s="207">
        <f t="shared" si="281"/>
        <v>0</v>
      </c>
      <c r="BX207" s="206"/>
      <c r="BY207" s="206"/>
      <c r="BZ207" s="206"/>
      <c r="CA207" s="206"/>
      <c r="CB207" s="199"/>
      <c r="CC207" s="206"/>
      <c r="CD207" s="206"/>
      <c r="CE207" s="206"/>
      <c r="CF207" s="206"/>
      <c r="CG207" s="206"/>
      <c r="CH207" s="304"/>
      <c r="CL207" s="206"/>
      <c r="CM207" s="304"/>
      <c r="CO207" s="206"/>
      <c r="CP207" s="206"/>
    </row>
    <row r="208" spans="1:94" ht="18" customHeight="1" x14ac:dyDescent="0.25">
      <c r="D208" s="416"/>
      <c r="E208" s="563"/>
      <c r="G208" s="204"/>
      <c r="J208" s="204"/>
      <c r="L208" s="317"/>
      <c r="M208" s="317"/>
      <c r="N208" s="316"/>
      <c r="O208" s="317"/>
      <c r="P208" s="317"/>
      <c r="Q208" s="316"/>
      <c r="R208" s="204"/>
      <c r="S208" s="204"/>
      <c r="T208" s="304"/>
      <c r="U208" s="204"/>
      <c r="V208" s="204"/>
      <c r="W208" s="304"/>
      <c r="AB208" s="374"/>
      <c r="BH208" s="200"/>
      <c r="BI208" s="200"/>
      <c r="BJ208" s="200"/>
      <c r="BK208" s="200"/>
      <c r="BL208" s="206"/>
      <c r="BM208" s="206"/>
      <c r="BN208" s="206"/>
      <c r="BO208" s="206"/>
      <c r="BP208" s="206">
        <f t="shared" si="191"/>
        <v>0</v>
      </c>
      <c r="BQ208" s="199"/>
      <c r="BR208" s="205" t="e">
        <f t="shared" si="192"/>
        <v>#DIV/0!</v>
      </c>
      <c r="BW208" s="207">
        <f t="shared" si="281"/>
        <v>0</v>
      </c>
      <c r="BX208" s="206"/>
      <c r="BY208" s="206"/>
      <c r="BZ208" s="206"/>
      <c r="CA208" s="206"/>
      <c r="CB208" s="199"/>
      <c r="CC208" s="206"/>
      <c r="CD208" s="206"/>
      <c r="CE208" s="206"/>
      <c r="CF208" s="206"/>
      <c r="CG208" s="206"/>
      <c r="CH208" s="304"/>
      <c r="CL208" s="206"/>
      <c r="CM208" s="304"/>
      <c r="CO208" s="206"/>
      <c r="CP208" s="206"/>
    </row>
    <row r="209" spans="1:95" s="289" customFormat="1" ht="18" customHeight="1" x14ac:dyDescent="0.25">
      <c r="A209" s="283" t="s">
        <v>307</v>
      </c>
      <c r="D209" s="375"/>
      <c r="E209" s="376"/>
      <c r="G209" s="287"/>
      <c r="H209" s="288"/>
      <c r="J209" s="287"/>
      <c r="K209" s="288"/>
      <c r="L209" s="285"/>
      <c r="M209" s="285"/>
      <c r="N209" s="377"/>
      <c r="O209" s="285"/>
      <c r="P209" s="285"/>
      <c r="Q209" s="377"/>
      <c r="R209" s="287"/>
      <c r="S209" s="287"/>
      <c r="T209" s="407"/>
      <c r="U209" s="287"/>
      <c r="V209" s="287"/>
      <c r="W209" s="407"/>
      <c r="X209" s="291"/>
      <c r="Y209" s="292"/>
      <c r="Z209" s="559"/>
      <c r="AA209" s="287"/>
      <c r="AB209" s="384"/>
      <c r="AC209" s="295"/>
      <c r="AF209" s="287"/>
      <c r="AG209" s="287"/>
      <c r="AX209" s="287"/>
      <c r="AY209" s="287"/>
      <c r="AZ209" s="407"/>
      <c r="BA209" s="407"/>
      <c r="BB209" s="407"/>
      <c r="BC209" s="407"/>
      <c r="BD209" s="407"/>
      <c r="BE209" s="287"/>
      <c r="BF209" s="287"/>
      <c r="BG209" s="407"/>
      <c r="BH209" s="290"/>
      <c r="BI209" s="290"/>
      <c r="BJ209" s="290"/>
      <c r="BK209" s="290"/>
      <c r="BL209" s="296"/>
      <c r="BM209" s="296"/>
      <c r="BN209" s="296"/>
      <c r="BO209" s="296"/>
      <c r="BP209" s="206">
        <f t="shared" si="191"/>
        <v>0</v>
      </c>
      <c r="BQ209" s="288"/>
      <c r="BR209" s="205" t="e">
        <f t="shared" si="192"/>
        <v>#DIV/0!</v>
      </c>
      <c r="BS209" s="296"/>
      <c r="BW209" s="298"/>
      <c r="BX209" s="296"/>
      <c r="BY209" s="296"/>
      <c r="BZ209" s="296"/>
      <c r="CA209" s="296"/>
      <c r="CB209" s="288"/>
      <c r="CC209" s="296"/>
      <c r="CD209" s="296"/>
      <c r="CE209" s="296"/>
      <c r="CF209" s="296"/>
      <c r="CG209" s="296"/>
      <c r="CH209" s="407"/>
      <c r="CL209" s="743"/>
      <c r="CM209" s="407"/>
      <c r="CO209" s="206"/>
      <c r="CP209" s="206"/>
    </row>
    <row r="210" spans="1:95" ht="18" customHeight="1" x14ac:dyDescent="0.25">
      <c r="A210" s="313" t="s">
        <v>308</v>
      </c>
      <c r="B210" s="302">
        <v>315656</v>
      </c>
      <c r="C210" s="302">
        <v>228364</v>
      </c>
      <c r="D210" s="416">
        <f t="shared" si="273"/>
        <v>-87292</v>
      </c>
      <c r="E210" s="563">
        <f>(C210-B210)/B210</f>
        <v>-0.27654155156246041</v>
      </c>
      <c r="F210" s="204">
        <v>233251</v>
      </c>
      <c r="G210" s="204">
        <f t="shared" si="274"/>
        <v>4887</v>
      </c>
      <c r="H210" s="199">
        <f>(F210-C210)/C210</f>
        <v>2.1400045541328756E-2</v>
      </c>
      <c r="I210" s="204">
        <v>250649</v>
      </c>
      <c r="J210" s="204">
        <f t="shared" si="275"/>
        <v>17398</v>
      </c>
      <c r="K210" s="199">
        <f>(I210-F210)/F210</f>
        <v>7.4589176466553192E-2</v>
      </c>
      <c r="L210" s="204">
        <v>303397</v>
      </c>
      <c r="M210" s="204">
        <v>52748</v>
      </c>
      <c r="N210" s="304">
        <v>0.21044568300691405</v>
      </c>
      <c r="O210" s="204">
        <v>342683</v>
      </c>
      <c r="P210" s="204">
        <f>O210-L210</f>
        <v>39286</v>
      </c>
      <c r="Q210" s="304">
        <f>P210/L210</f>
        <v>0.1294871076510315</v>
      </c>
      <c r="R210" s="204">
        <v>370128</v>
      </c>
      <c r="S210" s="204">
        <f t="shared" ref="S210:S218" si="282">R210-O210</f>
        <v>27445</v>
      </c>
      <c r="T210" s="205">
        <f t="shared" ref="T210:T218" si="283">S210/O210</f>
        <v>8.0088594998876508E-2</v>
      </c>
      <c r="U210" s="204">
        <v>386245</v>
      </c>
      <c r="V210" s="204">
        <f>U210-R210</f>
        <v>16117</v>
      </c>
      <c r="W210" s="304">
        <f>V210/R210</f>
        <v>4.354439545238404E-2</v>
      </c>
      <c r="X210" s="201">
        <v>420827</v>
      </c>
      <c r="Y210" s="204">
        <f t="shared" ref="Y210:Y223" si="284">X210-U210</f>
        <v>34582</v>
      </c>
      <c r="Z210" s="484">
        <f>Y210/U210</f>
        <v>8.9533845098318424E-2</v>
      </c>
      <c r="AA210" s="203">
        <v>459727</v>
      </c>
      <c r="AB210" s="374">
        <f t="shared" ref="AB210:AB223" si="285">AA210-X210</f>
        <v>38900</v>
      </c>
      <c r="AC210" s="205">
        <f>AB210/X210</f>
        <v>9.2437034695967701E-2</v>
      </c>
      <c r="AD210" s="200">
        <v>463796</v>
      </c>
      <c r="AE210" s="200">
        <f>3465+4800</f>
        <v>8265</v>
      </c>
      <c r="AF210" s="204">
        <v>351816</v>
      </c>
      <c r="AG210" s="204">
        <f t="shared" ref="AG210:AG231" si="286">AF210-AA210</f>
        <v>-107911</v>
      </c>
      <c r="AH210" s="304">
        <f t="shared" ref="AH210:AH231" si="287">AG210/AA210</f>
        <v>-0.23472843665914772</v>
      </c>
      <c r="AI210" s="200">
        <v>463796</v>
      </c>
      <c r="AJ210" s="200">
        <v>472061</v>
      </c>
      <c r="AK210" s="66">
        <v>471409</v>
      </c>
      <c r="AL210" s="354"/>
      <c r="AM210" s="204">
        <f t="shared" ref="AM210:AM235" si="288">+AL210+AK210</f>
        <v>471409</v>
      </c>
      <c r="AN210" s="66">
        <v>403905</v>
      </c>
      <c r="AO210" s="204">
        <v>412909</v>
      </c>
      <c r="AS210" s="204">
        <f>BB210</f>
        <v>404768.30356999999</v>
      </c>
      <c r="AT210" s="200">
        <f>AS210-AF210</f>
        <v>52952.303569999989</v>
      </c>
      <c r="AU210" s="199">
        <f>AT210/AF210</f>
        <v>0.15051135698774357</v>
      </c>
      <c r="AV210" s="200">
        <f t="shared" ref="AV210:AV235" si="289">+AS210-AF210</f>
        <v>52952.303569999989</v>
      </c>
      <c r="AW210" s="199">
        <f t="shared" ref="AW210:AW235" si="290">+AV210/AF210</f>
        <v>0.15051135698774357</v>
      </c>
      <c r="AX210" s="204">
        <v>410909</v>
      </c>
      <c r="AY210" s="204">
        <f>AX210-AF210</f>
        <v>59093</v>
      </c>
      <c r="AZ210" s="304">
        <f t="shared" si="198"/>
        <v>0.16796564113059098</v>
      </c>
      <c r="BA210" s="560">
        <f>397062.33+4800+4204</f>
        <v>406066.33</v>
      </c>
      <c r="BB210" s="560">
        <f>395764.30357+4800+4204</f>
        <v>404768.30356999999</v>
      </c>
      <c r="BC210" s="560">
        <f>BA210-BB210</f>
        <v>1298.0264300000272</v>
      </c>
      <c r="BD210" s="304">
        <f>BC210/BA210</f>
        <v>3.1965871930332837E-3</v>
      </c>
      <c r="BE210" s="204">
        <v>414227</v>
      </c>
      <c r="BF210" s="204">
        <f t="shared" ref="BF210:BF235" si="291">BE210-AX210</f>
        <v>3318</v>
      </c>
      <c r="BG210" s="304">
        <f t="shared" ref="BG210:BG235" si="292">BF210/AX210</f>
        <v>8.0747805475178194E-3</v>
      </c>
      <c r="BH210" s="200"/>
      <c r="BI210" s="200"/>
      <c r="BJ210" s="200"/>
      <c r="BK210" s="200"/>
      <c r="BL210" s="206">
        <f t="shared" si="201"/>
        <v>414227</v>
      </c>
      <c r="BM210" s="206">
        <f t="shared" ref="BM210:BM235" si="293">BL210-AS210</f>
        <v>9458.6964300000109</v>
      </c>
      <c r="BN210" s="206">
        <v>469424</v>
      </c>
      <c r="BO210" s="206">
        <v>467424</v>
      </c>
      <c r="BP210" s="206">
        <f t="shared" si="191"/>
        <v>53197</v>
      </c>
      <c r="BQ210" s="199">
        <f t="shared" ref="BQ210:BQ235" si="294">BM210/AS210</f>
        <v>2.3368174697908969E-2</v>
      </c>
      <c r="BR210" s="205">
        <f t="shared" si="192"/>
        <v>0.12842475261149081</v>
      </c>
      <c r="BW210" s="207">
        <f>BN210+BS210+BT210+BU210+BV210</f>
        <v>469424</v>
      </c>
      <c r="BX210" s="206">
        <v>467424</v>
      </c>
      <c r="BY210" s="206"/>
      <c r="BZ210" s="206">
        <v>459628</v>
      </c>
      <c r="CA210" s="206">
        <f t="shared" si="205"/>
        <v>45401</v>
      </c>
      <c r="CB210" s="199">
        <f>CA210/BE210</f>
        <v>0.10960415424392905</v>
      </c>
      <c r="CC210" s="206">
        <v>522794</v>
      </c>
      <c r="CD210" s="206">
        <v>524082</v>
      </c>
      <c r="CE210" s="206">
        <v>-8718</v>
      </c>
      <c r="CF210" s="206">
        <v>501901</v>
      </c>
      <c r="CG210" s="206">
        <f t="shared" ref="CG210:CG235" si="295">CF210-BZ210</f>
        <v>42273</v>
      </c>
      <c r="CH210" s="304">
        <f t="shared" ref="CH210:CH255" si="296">CG210/BZ210</f>
        <v>9.1972203608135281E-2</v>
      </c>
      <c r="CI210" s="206">
        <v>600694</v>
      </c>
      <c r="CJ210" s="206">
        <v>-20300</v>
      </c>
      <c r="CK210" s="206">
        <f t="shared" ref="CK210:CK234" si="297">CI210+CJ210</f>
        <v>580394</v>
      </c>
      <c r="CL210" s="206">
        <f t="shared" ref="CL210:CL255" si="298">CK210-CF210</f>
        <v>78493</v>
      </c>
      <c r="CM210" s="562">
        <f t="shared" ref="CM210:CM233" si="299">CL210/CF210</f>
        <v>0.15639139989758938</v>
      </c>
      <c r="CN210" s="206">
        <v>598461</v>
      </c>
      <c r="CO210" s="206">
        <f t="shared" ref="CO203:CO255" si="300">CN210-CK210</f>
        <v>18067</v>
      </c>
      <c r="CP210" s="304">
        <f t="shared" ref="CP203:CP255" si="301">CO210/CK210</f>
        <v>3.1128853847558726E-2</v>
      </c>
    </row>
    <row r="211" spans="1:95" ht="18" customHeight="1" x14ac:dyDescent="0.25">
      <c r="A211" s="313" t="s">
        <v>309</v>
      </c>
      <c r="B211" s="302">
        <v>3002</v>
      </c>
      <c r="C211" s="302">
        <v>0</v>
      </c>
      <c r="D211" s="416">
        <f t="shared" si="273"/>
        <v>-3002</v>
      </c>
      <c r="E211" s="563">
        <f>(C211-B211)/B211</f>
        <v>-1</v>
      </c>
      <c r="F211" s="204">
        <v>0</v>
      </c>
      <c r="G211" s="204">
        <f t="shared" si="274"/>
        <v>0</v>
      </c>
      <c r="H211" s="310" t="s">
        <v>132</v>
      </c>
      <c r="I211" s="204">
        <v>3288</v>
      </c>
      <c r="J211" s="204">
        <f t="shared" si="275"/>
        <v>3288</v>
      </c>
      <c r="K211" s="310" t="s">
        <v>132</v>
      </c>
      <c r="L211" s="204">
        <v>2570</v>
      </c>
      <c r="M211" s="204">
        <v>-718</v>
      </c>
      <c r="N211" s="304">
        <v>-0.21836982968369831</v>
      </c>
      <c r="O211" s="204">
        <v>4666</v>
      </c>
      <c r="P211" s="204">
        <f t="shared" ref="P211:P235" si="302">O211-L211</f>
        <v>2096</v>
      </c>
      <c r="Q211" s="304">
        <f>P211/L211</f>
        <v>0.81556420233463034</v>
      </c>
      <c r="R211" s="204">
        <v>6650</v>
      </c>
      <c r="S211" s="204">
        <f t="shared" si="282"/>
        <v>1984</v>
      </c>
      <c r="T211" s="304">
        <f t="shared" si="283"/>
        <v>0.42520360051435918</v>
      </c>
      <c r="U211" s="204">
        <v>8455</v>
      </c>
      <c r="V211" s="204">
        <f t="shared" ref="V211:V235" si="303">U211-R211</f>
        <v>1805</v>
      </c>
      <c r="W211" s="304">
        <f>V211/R211</f>
        <v>0.27142857142857141</v>
      </c>
      <c r="X211" s="201">
        <v>7849</v>
      </c>
      <c r="Y211" s="204">
        <f t="shared" si="284"/>
        <v>-606</v>
      </c>
      <c r="Z211" s="484">
        <f>Y211/U211</f>
        <v>-7.1673565937315192E-2</v>
      </c>
      <c r="AA211" s="203">
        <v>9000</v>
      </c>
      <c r="AB211" s="374">
        <f t="shared" si="285"/>
        <v>1151</v>
      </c>
      <c r="AC211" s="205">
        <f>AB211/X211</f>
        <v>0.14664288444387821</v>
      </c>
      <c r="AD211" s="200">
        <v>9000</v>
      </c>
      <c r="AE211" s="200"/>
      <c r="AF211" s="204">
        <v>2373</v>
      </c>
      <c r="AG211" s="204">
        <f t="shared" si="286"/>
        <v>-6627</v>
      </c>
      <c r="AH211" s="304">
        <f t="shared" si="287"/>
        <v>-0.73633333333333328</v>
      </c>
      <c r="AI211" s="200">
        <v>9000</v>
      </c>
      <c r="AJ211" s="200">
        <v>9000</v>
      </c>
      <c r="AK211" s="66">
        <v>9000</v>
      </c>
      <c r="AL211" s="354"/>
      <c r="AM211" s="204">
        <f t="shared" si="288"/>
        <v>9000</v>
      </c>
      <c r="AN211" s="66">
        <v>9000</v>
      </c>
      <c r="AO211" s="66">
        <v>9000</v>
      </c>
      <c r="AS211" s="204">
        <f t="shared" ref="AS211:AS235" si="304">BB211</f>
        <v>2840.6934099999999</v>
      </c>
      <c r="AT211" s="200">
        <f t="shared" ref="AT211:AT233" si="305">AS211-AF211</f>
        <v>467.69340999999986</v>
      </c>
      <c r="AU211" s="199">
        <f t="shared" ref="AU211:AU233" si="306">AT211/AF211</f>
        <v>0.19708951116729873</v>
      </c>
      <c r="AV211" s="200">
        <f t="shared" si="289"/>
        <v>467.69340999999986</v>
      </c>
      <c r="AW211" s="199">
        <f t="shared" si="290"/>
        <v>0.19708951116729873</v>
      </c>
      <c r="AX211" s="204">
        <v>3000</v>
      </c>
      <c r="AY211" s="204">
        <f t="shared" si="197"/>
        <v>627</v>
      </c>
      <c r="AZ211" s="304">
        <f t="shared" si="198"/>
        <v>0.26422250316055623</v>
      </c>
      <c r="BA211" s="560">
        <v>3000</v>
      </c>
      <c r="BB211" s="560">
        <v>2840.6934099999999</v>
      </c>
      <c r="BC211" s="560">
        <f t="shared" ref="BC211:BC233" si="307">BA211-BB211</f>
        <v>159.30659000000014</v>
      </c>
      <c r="BD211" s="304">
        <f t="shared" ref="BD211:BD233" si="308">BC211/BA211</f>
        <v>5.3102196666666712E-2</v>
      </c>
      <c r="BE211" s="204">
        <v>2572</v>
      </c>
      <c r="BF211" s="204">
        <f t="shared" si="291"/>
        <v>-428</v>
      </c>
      <c r="BG211" s="304">
        <f t="shared" si="292"/>
        <v>-0.14266666666666666</v>
      </c>
      <c r="BH211" s="200"/>
      <c r="BI211" s="200"/>
      <c r="BJ211" s="200"/>
      <c r="BK211" s="200"/>
      <c r="BL211" s="206">
        <f t="shared" si="201"/>
        <v>2572</v>
      </c>
      <c r="BM211" s="206">
        <f t="shared" si="293"/>
        <v>-268.69340999999986</v>
      </c>
      <c r="BN211" s="206">
        <v>5000</v>
      </c>
      <c r="BO211" s="206">
        <v>4390</v>
      </c>
      <c r="BP211" s="206">
        <f t="shared" si="191"/>
        <v>1818</v>
      </c>
      <c r="BQ211" s="199">
        <f t="shared" si="294"/>
        <v>-9.458726135461408E-2</v>
      </c>
      <c r="BR211" s="205">
        <f t="shared" si="192"/>
        <v>0.70684292379471225</v>
      </c>
      <c r="BW211" s="207">
        <f>BN211+BS211+BT211+BU211+BV211</f>
        <v>5000</v>
      </c>
      <c r="BX211" s="206">
        <v>4390</v>
      </c>
      <c r="BY211" s="206"/>
      <c r="BZ211" s="206">
        <v>1581</v>
      </c>
      <c r="CA211" s="206">
        <f t="shared" si="205"/>
        <v>-991</v>
      </c>
      <c r="CB211" s="199">
        <f t="shared" ref="CB211:CB235" si="309">CA211/BE211</f>
        <v>-0.38530326594090203</v>
      </c>
      <c r="CC211" s="206">
        <v>5000</v>
      </c>
      <c r="CD211" s="206">
        <v>3675</v>
      </c>
      <c r="CE211" s="206"/>
      <c r="CF211" s="206">
        <v>943</v>
      </c>
      <c r="CG211" s="206">
        <f t="shared" si="295"/>
        <v>-638</v>
      </c>
      <c r="CH211" s="304">
        <f t="shared" si="296"/>
        <v>-0.40354206198608478</v>
      </c>
      <c r="CI211" s="206">
        <v>2500</v>
      </c>
      <c r="CJ211" s="206"/>
      <c r="CK211" s="206">
        <f t="shared" si="297"/>
        <v>2500</v>
      </c>
      <c r="CL211" s="206">
        <f t="shared" si="298"/>
        <v>1557</v>
      </c>
      <c r="CM211" s="562">
        <f t="shared" si="299"/>
        <v>1.6511134676564156</v>
      </c>
      <c r="CN211" s="206">
        <v>5000</v>
      </c>
      <c r="CO211" s="206">
        <f t="shared" si="300"/>
        <v>2500</v>
      </c>
      <c r="CP211" s="304">
        <f t="shared" si="301"/>
        <v>1</v>
      </c>
    </row>
    <row r="212" spans="1:95" ht="18" customHeight="1" x14ac:dyDescent="0.25">
      <c r="A212" s="313" t="s">
        <v>310</v>
      </c>
      <c r="B212" s="302">
        <v>7929</v>
      </c>
      <c r="C212" s="302">
        <v>7929</v>
      </c>
      <c r="D212" s="416">
        <f t="shared" si="273"/>
        <v>0</v>
      </c>
      <c r="E212" s="563">
        <f>(C212-B212)/B212</f>
        <v>0</v>
      </c>
      <c r="F212" s="204">
        <v>7924</v>
      </c>
      <c r="G212" s="204">
        <f t="shared" si="274"/>
        <v>-5</v>
      </c>
      <c r="H212" s="199">
        <f>(F212-C212)/C212</f>
        <v>-6.3059654433093707E-4</v>
      </c>
      <c r="I212" s="204">
        <v>2280</v>
      </c>
      <c r="J212" s="204">
        <f t="shared" si="275"/>
        <v>-5644</v>
      </c>
      <c r="K212" s="199">
        <f>(I212-F212)/F212</f>
        <v>-0.71226653205451795</v>
      </c>
      <c r="L212" s="204">
        <v>4752</v>
      </c>
      <c r="M212" s="204">
        <v>2472</v>
      </c>
      <c r="N212" s="304">
        <v>1.0842105263157895</v>
      </c>
      <c r="O212" s="204">
        <v>10904</v>
      </c>
      <c r="P212" s="204">
        <f t="shared" si="302"/>
        <v>6152</v>
      </c>
      <c r="Q212" s="304">
        <f>P212/L212</f>
        <v>1.2946127946127945</v>
      </c>
      <c r="R212" s="204">
        <v>10941</v>
      </c>
      <c r="S212" s="204">
        <f t="shared" si="282"/>
        <v>37</v>
      </c>
      <c r="T212" s="304">
        <f t="shared" si="283"/>
        <v>3.3932501834189289E-3</v>
      </c>
      <c r="U212" s="204">
        <v>30448</v>
      </c>
      <c r="V212" s="204">
        <f t="shared" si="303"/>
        <v>19507</v>
      </c>
      <c r="W212" s="304">
        <f>V212/R212</f>
        <v>1.7829266063431131</v>
      </c>
      <c r="X212" s="201">
        <v>30664</v>
      </c>
      <c r="Y212" s="204">
        <f t="shared" si="284"/>
        <v>216</v>
      </c>
      <c r="Z212" s="484">
        <f>Y212/U212</f>
        <v>7.0940620073568052E-3</v>
      </c>
      <c r="AA212" s="203">
        <v>32791</v>
      </c>
      <c r="AB212" s="374">
        <f t="shared" si="285"/>
        <v>2127</v>
      </c>
      <c r="AC212" s="205">
        <f>AB212/X212</f>
        <v>6.9364727367597176E-2</v>
      </c>
      <c r="AD212" s="200">
        <v>32285</v>
      </c>
      <c r="AE212" s="200"/>
      <c r="AF212" s="204">
        <v>32257</v>
      </c>
      <c r="AG212" s="204">
        <f t="shared" si="286"/>
        <v>-534</v>
      </c>
      <c r="AH212" s="304">
        <f t="shared" si="287"/>
        <v>-1.6284956237992133E-2</v>
      </c>
      <c r="AI212" s="200">
        <v>32285</v>
      </c>
      <c r="AJ212" s="200">
        <v>32285</v>
      </c>
      <c r="AK212" s="66">
        <v>33045</v>
      </c>
      <c r="AL212" s="354"/>
      <c r="AM212" s="204">
        <f t="shared" si="288"/>
        <v>33045</v>
      </c>
      <c r="AN212" s="66">
        <v>33045</v>
      </c>
      <c r="AO212" s="66">
        <v>33045</v>
      </c>
      <c r="AS212" s="204">
        <f t="shared" si="304"/>
        <v>32243.889360000001</v>
      </c>
      <c r="AT212" s="200">
        <f t="shared" si="305"/>
        <v>-13.110639999998966</v>
      </c>
      <c r="AU212" s="199">
        <f t="shared" si="306"/>
        <v>-4.0644325262730464E-4</v>
      </c>
      <c r="AV212" s="200">
        <f t="shared" si="289"/>
        <v>-13.110639999998966</v>
      </c>
      <c r="AW212" s="199">
        <f t="shared" si="290"/>
        <v>-4.0644325262730464E-4</v>
      </c>
      <c r="AX212" s="204">
        <v>33045</v>
      </c>
      <c r="AY212" s="204">
        <f t="shared" si="197"/>
        <v>788</v>
      </c>
      <c r="AZ212" s="304">
        <f t="shared" si="198"/>
        <v>2.4428806150602968E-2</v>
      </c>
      <c r="BA212" s="560">
        <v>33044.574999999997</v>
      </c>
      <c r="BB212" s="560">
        <v>32243.889360000001</v>
      </c>
      <c r="BC212" s="560">
        <f t="shared" si="307"/>
        <v>800.68563999999606</v>
      </c>
      <c r="BD212" s="304">
        <f t="shared" si="308"/>
        <v>2.4230471718882634E-2</v>
      </c>
      <c r="BE212" s="204">
        <v>32233</v>
      </c>
      <c r="BF212" s="204">
        <f t="shared" si="291"/>
        <v>-812</v>
      </c>
      <c r="BG212" s="304">
        <f t="shared" si="292"/>
        <v>-2.4572552579815402E-2</v>
      </c>
      <c r="BH212" s="200"/>
      <c r="BI212" s="200"/>
      <c r="BJ212" s="200"/>
      <c r="BK212" s="200"/>
      <c r="BL212" s="206">
        <f t="shared" si="201"/>
        <v>32233</v>
      </c>
      <c r="BM212" s="206">
        <f t="shared" si="293"/>
        <v>-10.889360000001034</v>
      </c>
      <c r="BN212" s="206">
        <v>32542</v>
      </c>
      <c r="BO212" s="206">
        <v>32542</v>
      </c>
      <c r="BP212" s="206">
        <f t="shared" ref="BP212:BP255" si="310">BO212-BE212</f>
        <v>309</v>
      </c>
      <c r="BQ212" s="199">
        <f t="shared" si="294"/>
        <v>-3.3771856361440616E-4</v>
      </c>
      <c r="BR212" s="205">
        <f t="shared" ref="BR212:BR256" si="311">BP212/BE212</f>
        <v>9.5864486706170697E-3</v>
      </c>
      <c r="BW212" s="207">
        <f>BN212+BS212+BT212+BU212+BV212</f>
        <v>32542</v>
      </c>
      <c r="BX212" s="206">
        <v>32542</v>
      </c>
      <c r="BY212" s="206"/>
      <c r="BZ212" s="206">
        <v>31825</v>
      </c>
      <c r="CA212" s="206">
        <f t="shared" ref="CA212:CA255" si="312">BZ212-BE212</f>
        <v>-408</v>
      </c>
      <c r="CB212" s="199">
        <f t="shared" si="309"/>
        <v>-1.2657835137902151E-2</v>
      </c>
      <c r="CC212" s="206">
        <v>24619</v>
      </c>
      <c r="CD212" s="206">
        <v>24619</v>
      </c>
      <c r="CE212" s="206"/>
      <c r="CF212" s="206">
        <v>22623</v>
      </c>
      <c r="CG212" s="206">
        <f t="shared" si="295"/>
        <v>-9202</v>
      </c>
      <c r="CH212" s="304">
        <f t="shared" si="296"/>
        <v>-0.28914375490966221</v>
      </c>
      <c r="CI212" s="206">
        <v>22670</v>
      </c>
      <c r="CJ212" s="206">
        <v>-22700</v>
      </c>
      <c r="CK212" s="206">
        <f t="shared" si="297"/>
        <v>-30</v>
      </c>
      <c r="CL212" s="206">
        <f t="shared" si="298"/>
        <v>-22653</v>
      </c>
      <c r="CM212" s="562">
        <f t="shared" si="299"/>
        <v>-1.0013260840737304</v>
      </c>
      <c r="CN212" s="206"/>
      <c r="CO212" s="206">
        <f t="shared" si="300"/>
        <v>30</v>
      </c>
      <c r="CP212" s="304">
        <f t="shared" si="301"/>
        <v>-1</v>
      </c>
      <c r="CQ212" s="66" t="s">
        <v>493</v>
      </c>
    </row>
    <row r="213" spans="1:95" ht="18" customHeight="1" x14ac:dyDescent="0.25">
      <c r="A213" s="313" t="s">
        <v>311</v>
      </c>
      <c r="B213" s="302">
        <v>68166</v>
      </c>
      <c r="C213" s="302">
        <v>25881</v>
      </c>
      <c r="D213" s="416">
        <f t="shared" si="273"/>
        <v>-42285</v>
      </c>
      <c r="E213" s="563">
        <f>(C213-B213)/B213</f>
        <v>-0.62032391514831442</v>
      </c>
      <c r="F213" s="204">
        <v>31360</v>
      </c>
      <c r="G213" s="204">
        <f t="shared" si="274"/>
        <v>5479</v>
      </c>
      <c r="H213" s="199">
        <f>(F213-C213)/C213</f>
        <v>0.21169970248444805</v>
      </c>
      <c r="I213" s="204">
        <v>23356</v>
      </c>
      <c r="J213" s="204">
        <f t="shared" si="275"/>
        <v>-8004</v>
      </c>
      <c r="K213" s="199">
        <f>(I213-F213)/F213</f>
        <v>-0.25522959183673471</v>
      </c>
      <c r="L213" s="204">
        <v>18890</v>
      </c>
      <c r="M213" s="204">
        <v>-4466</v>
      </c>
      <c r="N213" s="304">
        <v>-0.19121424901524234</v>
      </c>
      <c r="O213" s="204">
        <v>19323</v>
      </c>
      <c r="P213" s="204">
        <f t="shared" si="302"/>
        <v>433</v>
      </c>
      <c r="Q213" s="304">
        <f>P213/L213</f>
        <v>2.2922181048173638E-2</v>
      </c>
      <c r="R213" s="204">
        <v>29956</v>
      </c>
      <c r="S213" s="204">
        <f t="shared" si="282"/>
        <v>10633</v>
      </c>
      <c r="T213" s="304">
        <f t="shared" si="283"/>
        <v>0.55027687212130627</v>
      </c>
      <c r="U213" s="204">
        <v>25029</v>
      </c>
      <c r="V213" s="204">
        <f t="shared" si="303"/>
        <v>-4927</v>
      </c>
      <c r="W213" s="304">
        <f>V213/R213</f>
        <v>-0.16447456269194818</v>
      </c>
      <c r="X213" s="201">
        <v>21015</v>
      </c>
      <c r="Y213" s="204">
        <f t="shared" si="284"/>
        <v>-4014</v>
      </c>
      <c r="Z213" s="484">
        <f>Y213/U213</f>
        <v>-0.16037396619920891</v>
      </c>
      <c r="AA213" s="203">
        <v>21477</v>
      </c>
      <c r="AB213" s="374">
        <f t="shared" si="285"/>
        <v>462</v>
      </c>
      <c r="AC213" s="205">
        <f>AB213/X213</f>
        <v>2.1984296930763741E-2</v>
      </c>
      <c r="AD213" s="200">
        <v>21477</v>
      </c>
      <c r="AE213" s="200"/>
      <c r="AF213" s="204">
        <v>21470</v>
      </c>
      <c r="AG213" s="204">
        <f t="shared" si="286"/>
        <v>-7</v>
      </c>
      <c r="AH213" s="304">
        <f t="shared" si="287"/>
        <v>-3.2593006472039857E-4</v>
      </c>
      <c r="AI213" s="200">
        <v>21477</v>
      </c>
      <c r="AJ213" s="319">
        <v>21477</v>
      </c>
      <c r="AK213" s="319">
        <v>21950</v>
      </c>
      <c r="AL213" s="354"/>
      <c r="AM213" s="204">
        <v>21950</v>
      </c>
      <c r="AN213" s="66">
        <v>21477</v>
      </c>
      <c r="AO213" s="66">
        <v>21477</v>
      </c>
      <c r="AS213" s="204">
        <f t="shared" si="304"/>
        <v>21477</v>
      </c>
      <c r="AT213" s="200">
        <f t="shared" si="305"/>
        <v>7</v>
      </c>
      <c r="AU213" s="199">
        <f t="shared" si="306"/>
        <v>3.2603632976245924E-4</v>
      </c>
      <c r="AV213" s="200">
        <f t="shared" si="289"/>
        <v>7</v>
      </c>
      <c r="AW213" s="199">
        <f t="shared" si="290"/>
        <v>3.2603632976245924E-4</v>
      </c>
      <c r="AX213" s="204">
        <v>21477</v>
      </c>
      <c r="AY213" s="204">
        <f t="shared" si="197"/>
        <v>7</v>
      </c>
      <c r="AZ213" s="304">
        <f t="shared" si="198"/>
        <v>3.2603632976245924E-4</v>
      </c>
      <c r="BA213" s="560">
        <v>21477</v>
      </c>
      <c r="BB213" s="560">
        <v>21477</v>
      </c>
      <c r="BC213" s="560">
        <f t="shared" si="307"/>
        <v>0</v>
      </c>
      <c r="BD213" s="304">
        <f t="shared" si="308"/>
        <v>0</v>
      </c>
      <c r="BE213" s="204">
        <v>24337</v>
      </c>
      <c r="BF213" s="204">
        <f t="shared" si="291"/>
        <v>2860</v>
      </c>
      <c r="BG213" s="304">
        <f t="shared" si="292"/>
        <v>0.13316571215719142</v>
      </c>
      <c r="BH213" s="200"/>
      <c r="BI213" s="200"/>
      <c r="BJ213" s="200"/>
      <c r="BK213" s="200"/>
      <c r="BL213" s="206">
        <f t="shared" si="201"/>
        <v>24337</v>
      </c>
      <c r="BM213" s="206">
        <f t="shared" si="293"/>
        <v>2860</v>
      </c>
      <c r="BN213" s="206">
        <v>21477</v>
      </c>
      <c r="BO213" s="206">
        <v>21477</v>
      </c>
      <c r="BP213" s="206">
        <f t="shared" si="310"/>
        <v>-2860</v>
      </c>
      <c r="BQ213" s="199">
        <f t="shared" si="294"/>
        <v>0.13316571215719142</v>
      </c>
      <c r="BR213" s="205">
        <f t="shared" si="311"/>
        <v>-0.11751653860377204</v>
      </c>
      <c r="BW213" s="207" t="e">
        <f>#REF!+BS213+BT213+BU213+BV213</f>
        <v>#REF!</v>
      </c>
      <c r="BX213" s="206">
        <v>21477</v>
      </c>
      <c r="BY213" s="206"/>
      <c r="BZ213" s="206">
        <v>15590</v>
      </c>
      <c r="CA213" s="206">
        <f t="shared" si="312"/>
        <v>-8747</v>
      </c>
      <c r="CB213" s="199">
        <f t="shared" si="309"/>
        <v>-0.35941159551300489</v>
      </c>
      <c r="CC213" s="206">
        <v>21292</v>
      </c>
      <c r="CD213" s="206">
        <v>21292</v>
      </c>
      <c r="CE213" s="206"/>
      <c r="CF213" s="206">
        <v>21292</v>
      </c>
      <c r="CG213" s="206">
        <f t="shared" si="295"/>
        <v>5702</v>
      </c>
      <c r="CH213" s="304">
        <f t="shared" si="296"/>
        <v>0.36574727389352146</v>
      </c>
      <c r="CI213" s="206">
        <v>21292</v>
      </c>
      <c r="CJ213" s="206"/>
      <c r="CK213" s="206">
        <f t="shared" si="297"/>
        <v>21292</v>
      </c>
      <c r="CL213" s="206">
        <f t="shared" si="298"/>
        <v>0</v>
      </c>
      <c r="CM213" s="562">
        <f t="shared" si="299"/>
        <v>0</v>
      </c>
      <c r="CN213" s="206">
        <v>21292</v>
      </c>
      <c r="CO213" s="206">
        <f t="shared" si="300"/>
        <v>0</v>
      </c>
      <c r="CP213" s="304">
        <f t="shared" si="301"/>
        <v>0</v>
      </c>
    </row>
    <row r="214" spans="1:95" ht="18" customHeight="1" x14ac:dyDescent="0.25">
      <c r="A214" s="313" t="s">
        <v>312</v>
      </c>
      <c r="B214" s="302">
        <v>0</v>
      </c>
      <c r="C214" s="302">
        <v>9897</v>
      </c>
      <c r="D214" s="416">
        <f t="shared" si="273"/>
        <v>9897</v>
      </c>
      <c r="E214" s="310" t="s">
        <v>132</v>
      </c>
      <c r="F214" s="204">
        <v>5945</v>
      </c>
      <c r="G214" s="204">
        <f t="shared" si="274"/>
        <v>-3952</v>
      </c>
      <c r="H214" s="199">
        <f>(F214-C214)/C214</f>
        <v>-0.39931292310801253</v>
      </c>
      <c r="I214" s="204">
        <v>3875</v>
      </c>
      <c r="J214" s="204">
        <f t="shared" si="275"/>
        <v>-2070</v>
      </c>
      <c r="K214" s="199">
        <f>(I214-F214)/F214</f>
        <v>-0.34819175777964678</v>
      </c>
      <c r="L214" s="204">
        <v>3518</v>
      </c>
      <c r="M214" s="204">
        <v>-357</v>
      </c>
      <c r="N214" s="304">
        <v>-9.2129032258064514E-2</v>
      </c>
      <c r="O214" s="204">
        <v>3259</v>
      </c>
      <c r="P214" s="204">
        <f t="shared" si="302"/>
        <v>-259</v>
      </c>
      <c r="Q214" s="304">
        <f>P214/L214</f>
        <v>-7.3621375781694143E-2</v>
      </c>
      <c r="R214" s="204">
        <v>3830</v>
      </c>
      <c r="S214" s="204">
        <f t="shared" si="282"/>
        <v>571</v>
      </c>
      <c r="T214" s="304">
        <f t="shared" si="283"/>
        <v>0.17520711874808223</v>
      </c>
      <c r="U214" s="204">
        <v>3763</v>
      </c>
      <c r="V214" s="204">
        <f t="shared" si="303"/>
        <v>-67</v>
      </c>
      <c r="W214" s="304">
        <f>V214/R214</f>
        <v>-1.7493472584856395E-2</v>
      </c>
      <c r="X214" s="201">
        <v>4147</v>
      </c>
      <c r="Y214" s="204">
        <f t="shared" si="284"/>
        <v>384</v>
      </c>
      <c r="Z214" s="484">
        <f>Y214/U214</f>
        <v>0.10204623970236514</v>
      </c>
      <c r="AA214" s="203">
        <v>4058</v>
      </c>
      <c r="AB214" s="374">
        <f t="shared" si="285"/>
        <v>-89</v>
      </c>
      <c r="AC214" s="205">
        <f>AB214/X214</f>
        <v>-2.1461297323366289E-2</v>
      </c>
      <c r="AD214" s="200">
        <v>3625</v>
      </c>
      <c r="AE214" s="200"/>
      <c r="AF214" s="204">
        <v>3226</v>
      </c>
      <c r="AG214" s="204">
        <f t="shared" si="286"/>
        <v>-832</v>
      </c>
      <c r="AH214" s="304">
        <f t="shared" si="287"/>
        <v>-0.20502710694923607</v>
      </c>
      <c r="AI214" s="318">
        <v>3625</v>
      </c>
      <c r="AJ214" s="319">
        <v>3625</v>
      </c>
      <c r="AK214" s="68">
        <v>3598</v>
      </c>
      <c r="AL214" s="354"/>
      <c r="AM214" s="204">
        <f t="shared" si="288"/>
        <v>3598</v>
      </c>
      <c r="AN214" s="66">
        <v>3598</v>
      </c>
      <c r="AO214" s="66">
        <v>3598</v>
      </c>
      <c r="AS214" s="204">
        <f t="shared" si="304"/>
        <v>3565.94409</v>
      </c>
      <c r="AT214" s="200">
        <f t="shared" si="305"/>
        <v>339.94408999999996</v>
      </c>
      <c r="AU214" s="199">
        <f t="shared" si="306"/>
        <v>0.10537634531928083</v>
      </c>
      <c r="AV214" s="200">
        <f t="shared" si="289"/>
        <v>339.94408999999996</v>
      </c>
      <c r="AW214" s="199">
        <f t="shared" si="290"/>
        <v>0.10537634531928083</v>
      </c>
      <c r="AX214" s="204">
        <v>3598</v>
      </c>
      <c r="AY214" s="204">
        <f t="shared" si="197"/>
        <v>372</v>
      </c>
      <c r="AZ214" s="304">
        <f t="shared" si="198"/>
        <v>0.11531308121512709</v>
      </c>
      <c r="BA214" s="560">
        <v>3598.12556</v>
      </c>
      <c r="BB214" s="560">
        <v>3565.94409</v>
      </c>
      <c r="BC214" s="560">
        <f t="shared" si="307"/>
        <v>32.18146999999999</v>
      </c>
      <c r="BD214" s="304">
        <f t="shared" si="308"/>
        <v>8.9439541403885832E-3</v>
      </c>
      <c r="BE214" s="204">
        <v>3458</v>
      </c>
      <c r="BF214" s="204">
        <f t="shared" si="291"/>
        <v>-140</v>
      </c>
      <c r="BG214" s="304">
        <f t="shared" si="292"/>
        <v>-3.8910505836575876E-2</v>
      </c>
      <c r="BH214" s="200"/>
      <c r="BI214" s="200"/>
      <c r="BJ214" s="200"/>
      <c r="BK214" s="200"/>
      <c r="BL214" s="206">
        <f t="shared" si="201"/>
        <v>3458</v>
      </c>
      <c r="BM214" s="206">
        <f t="shared" si="293"/>
        <v>-107.94408999999996</v>
      </c>
      <c r="BN214" s="206">
        <v>4193</v>
      </c>
      <c r="BO214" s="206">
        <v>4193</v>
      </c>
      <c r="BP214" s="206">
        <f t="shared" si="310"/>
        <v>735</v>
      </c>
      <c r="BQ214" s="199">
        <f t="shared" si="294"/>
        <v>-3.0270830746535894E-2</v>
      </c>
      <c r="BR214" s="205">
        <f t="shared" si="311"/>
        <v>0.2125506072874494</v>
      </c>
      <c r="BW214" s="207">
        <f t="shared" ref="BW214:BW231" si="313">BN214+BS214+BT214+BU214+BV214</f>
        <v>4193</v>
      </c>
      <c r="BX214" s="206">
        <v>4193</v>
      </c>
      <c r="BY214" s="206"/>
      <c r="BZ214" s="206">
        <v>3690</v>
      </c>
      <c r="CA214" s="206">
        <f t="shared" si="312"/>
        <v>232</v>
      </c>
      <c r="CB214" s="199">
        <f t="shared" si="309"/>
        <v>6.7090803932909199E-2</v>
      </c>
      <c r="CC214" s="206">
        <v>4495</v>
      </c>
      <c r="CD214" s="206">
        <v>4495</v>
      </c>
      <c r="CE214" s="206"/>
      <c r="CF214" s="206">
        <v>3926</v>
      </c>
      <c r="CG214" s="206">
        <f t="shared" si="295"/>
        <v>236</v>
      </c>
      <c r="CH214" s="304">
        <f t="shared" si="296"/>
        <v>6.3956639566395662E-2</v>
      </c>
      <c r="CI214" s="206">
        <v>4469</v>
      </c>
      <c r="CJ214" s="206"/>
      <c r="CK214" s="206">
        <f t="shared" si="297"/>
        <v>4469</v>
      </c>
      <c r="CL214" s="206">
        <f t="shared" si="298"/>
        <v>543</v>
      </c>
      <c r="CM214" s="562">
        <f t="shared" si="299"/>
        <v>0.13830871115639329</v>
      </c>
      <c r="CN214" s="206">
        <v>4745</v>
      </c>
      <c r="CO214" s="206">
        <f t="shared" si="300"/>
        <v>276</v>
      </c>
      <c r="CP214" s="304">
        <f t="shared" si="301"/>
        <v>6.1758782725441934E-2</v>
      </c>
    </row>
    <row r="215" spans="1:95" ht="18" customHeight="1" x14ac:dyDescent="0.25">
      <c r="A215" s="313" t="s">
        <v>313</v>
      </c>
      <c r="B215" s="302">
        <v>0</v>
      </c>
      <c r="C215" s="302">
        <v>0</v>
      </c>
      <c r="D215" s="416">
        <f t="shared" si="273"/>
        <v>0</v>
      </c>
      <c r="E215" s="310" t="s">
        <v>132</v>
      </c>
      <c r="F215" s="204">
        <v>0</v>
      </c>
      <c r="G215" s="204">
        <f t="shared" si="274"/>
        <v>0</v>
      </c>
      <c r="H215" s="310" t="s">
        <v>132</v>
      </c>
      <c r="I215" s="204">
        <v>0</v>
      </c>
      <c r="J215" s="204">
        <f t="shared" si="275"/>
        <v>0</v>
      </c>
      <c r="K215" s="310" t="s">
        <v>132</v>
      </c>
      <c r="L215" s="204">
        <v>0</v>
      </c>
      <c r="M215" s="204">
        <v>0</v>
      </c>
      <c r="N215" s="394" t="s">
        <v>132</v>
      </c>
      <c r="O215" s="204">
        <v>0</v>
      </c>
      <c r="P215" s="204">
        <f t="shared" si="302"/>
        <v>0</v>
      </c>
      <c r="Q215" s="394" t="s">
        <v>132</v>
      </c>
      <c r="R215" s="204">
        <v>0</v>
      </c>
      <c r="S215" s="204">
        <f t="shared" si="282"/>
        <v>0</v>
      </c>
      <c r="T215" s="394" t="s">
        <v>132</v>
      </c>
      <c r="U215" s="204">
        <v>0</v>
      </c>
      <c r="V215" s="204">
        <f t="shared" si="303"/>
        <v>0</v>
      </c>
      <c r="W215" s="394" t="s">
        <v>132</v>
      </c>
      <c r="X215" s="201">
        <v>0</v>
      </c>
      <c r="Y215" s="204">
        <f t="shared" si="284"/>
        <v>0</v>
      </c>
      <c r="Z215" s="394" t="s">
        <v>132</v>
      </c>
      <c r="AA215" s="203">
        <v>26691</v>
      </c>
      <c r="AB215" s="374">
        <f t="shared" si="285"/>
        <v>26691</v>
      </c>
      <c r="AC215" s="395" t="s">
        <v>132</v>
      </c>
      <c r="AD215" s="200">
        <v>0</v>
      </c>
      <c r="AE215" s="200"/>
      <c r="AG215" s="204">
        <f t="shared" si="286"/>
        <v>-26691</v>
      </c>
      <c r="AH215" s="304">
        <f t="shared" si="287"/>
        <v>-1</v>
      </c>
      <c r="AI215" s="319">
        <v>0</v>
      </c>
      <c r="AJ215" s="319">
        <v>0</v>
      </c>
      <c r="AK215" s="68">
        <v>0</v>
      </c>
      <c r="AL215" s="354"/>
      <c r="AM215" s="204">
        <f t="shared" si="288"/>
        <v>0</v>
      </c>
      <c r="AN215" s="66">
        <v>0</v>
      </c>
      <c r="AO215" s="66">
        <v>0</v>
      </c>
      <c r="AS215" s="204">
        <f t="shared" si="304"/>
        <v>0</v>
      </c>
      <c r="AT215" s="200">
        <f t="shared" si="305"/>
        <v>0</v>
      </c>
      <c r="AU215" s="199" t="e">
        <f t="shared" si="306"/>
        <v>#DIV/0!</v>
      </c>
      <c r="AV215" s="200">
        <f t="shared" si="289"/>
        <v>0</v>
      </c>
      <c r="AW215" s="199" t="e">
        <f t="shared" si="290"/>
        <v>#DIV/0!</v>
      </c>
      <c r="AY215" s="204">
        <f t="shared" si="197"/>
        <v>0</v>
      </c>
      <c r="AZ215" s="304" t="e">
        <f t="shared" si="198"/>
        <v>#DIV/0!</v>
      </c>
      <c r="BC215" s="560">
        <f t="shared" si="307"/>
        <v>0</v>
      </c>
      <c r="BE215" s="204">
        <v>0</v>
      </c>
      <c r="BF215" s="204">
        <f t="shared" si="291"/>
        <v>0</v>
      </c>
      <c r="BG215" s="304" t="e">
        <f t="shared" si="292"/>
        <v>#DIV/0!</v>
      </c>
      <c r="BH215" s="200"/>
      <c r="BI215" s="200"/>
      <c r="BJ215" s="200"/>
      <c r="BK215" s="200"/>
      <c r="BL215" s="206">
        <f t="shared" si="201"/>
        <v>0</v>
      </c>
      <c r="BM215" s="206">
        <f t="shared" si="293"/>
        <v>0</v>
      </c>
      <c r="BN215" s="206">
        <v>0</v>
      </c>
      <c r="BO215" s="206"/>
      <c r="BP215" s="206">
        <f t="shared" si="310"/>
        <v>0</v>
      </c>
      <c r="BQ215" s="199" t="e">
        <f t="shared" si="294"/>
        <v>#DIV/0!</v>
      </c>
      <c r="BR215" s="205" t="e">
        <f t="shared" si="311"/>
        <v>#DIV/0!</v>
      </c>
      <c r="BW215" s="207">
        <f t="shared" si="313"/>
        <v>0</v>
      </c>
      <c r="BX215" s="206"/>
      <c r="BY215" s="206">
        <v>24200</v>
      </c>
      <c r="BZ215" s="206">
        <v>0</v>
      </c>
      <c r="CA215" s="206">
        <f t="shared" si="312"/>
        <v>0</v>
      </c>
      <c r="CB215" s="199" t="e">
        <f t="shared" si="309"/>
        <v>#DIV/0!</v>
      </c>
      <c r="CC215" s="206">
        <v>59442</v>
      </c>
      <c r="CD215" s="206">
        <v>59442</v>
      </c>
      <c r="CE215" s="206">
        <v>12535</v>
      </c>
      <c r="CF215" s="206">
        <v>0</v>
      </c>
      <c r="CG215" s="206">
        <f t="shared" si="295"/>
        <v>0</v>
      </c>
      <c r="CH215" s="304" t="e">
        <f t="shared" si="296"/>
        <v>#DIV/0!</v>
      </c>
      <c r="CI215" s="206">
        <v>42052</v>
      </c>
      <c r="CJ215" s="206"/>
      <c r="CK215" s="206">
        <f t="shared" si="297"/>
        <v>42052</v>
      </c>
      <c r="CL215" s="206">
        <f t="shared" si="298"/>
        <v>42052</v>
      </c>
      <c r="CM215" s="562" t="e">
        <f t="shared" si="299"/>
        <v>#DIV/0!</v>
      </c>
      <c r="CN215" s="206">
        <v>17815</v>
      </c>
      <c r="CO215" s="206">
        <f t="shared" si="300"/>
        <v>-24237</v>
      </c>
      <c r="CP215" s="304">
        <f t="shared" si="301"/>
        <v>-0.57635784267097878</v>
      </c>
    </row>
    <row r="216" spans="1:95" ht="18" customHeight="1" x14ac:dyDescent="0.25">
      <c r="A216" s="313" t="s">
        <v>314</v>
      </c>
      <c r="B216" s="302">
        <v>0</v>
      </c>
      <c r="C216" s="302">
        <v>0</v>
      </c>
      <c r="D216" s="416">
        <f t="shared" si="273"/>
        <v>0</v>
      </c>
      <c r="E216" s="310" t="s">
        <v>132</v>
      </c>
      <c r="F216" s="204">
        <v>0</v>
      </c>
      <c r="G216" s="204">
        <f t="shared" si="274"/>
        <v>0</v>
      </c>
      <c r="H216" s="310" t="s">
        <v>132</v>
      </c>
      <c r="I216" s="204">
        <v>0</v>
      </c>
      <c r="J216" s="204">
        <f t="shared" si="275"/>
        <v>0</v>
      </c>
      <c r="K216" s="310" t="s">
        <v>132</v>
      </c>
      <c r="L216" s="204">
        <v>0</v>
      </c>
      <c r="M216" s="204">
        <v>0</v>
      </c>
      <c r="N216" s="394" t="s">
        <v>132</v>
      </c>
      <c r="O216" s="204">
        <v>0</v>
      </c>
      <c r="P216" s="204">
        <f t="shared" si="302"/>
        <v>0</v>
      </c>
      <c r="Q216" s="394" t="s">
        <v>132</v>
      </c>
      <c r="R216" s="204">
        <v>0</v>
      </c>
      <c r="S216" s="204">
        <f t="shared" si="282"/>
        <v>0</v>
      </c>
      <c r="T216" s="394" t="s">
        <v>132</v>
      </c>
      <c r="U216" s="204">
        <v>0</v>
      </c>
      <c r="V216" s="204">
        <f t="shared" si="303"/>
        <v>0</v>
      </c>
      <c r="W216" s="394" t="s">
        <v>132</v>
      </c>
      <c r="X216" s="201">
        <v>0</v>
      </c>
      <c r="Y216" s="204">
        <f t="shared" si="284"/>
        <v>0</v>
      </c>
      <c r="Z216" s="394" t="s">
        <v>132</v>
      </c>
      <c r="AA216" s="203">
        <v>39279</v>
      </c>
      <c r="AB216" s="374">
        <f t="shared" si="285"/>
        <v>39279</v>
      </c>
      <c r="AC216" s="395" t="s">
        <v>132</v>
      </c>
      <c r="AD216" s="200">
        <v>3603</v>
      </c>
      <c r="AE216" s="200"/>
      <c r="AF216" s="204">
        <v>2410</v>
      </c>
      <c r="AG216" s="204">
        <f t="shared" si="286"/>
        <v>-36869</v>
      </c>
      <c r="AH216" s="304">
        <f t="shared" si="287"/>
        <v>-0.93864405916647575</v>
      </c>
      <c r="AI216" s="319">
        <v>3603</v>
      </c>
      <c r="AJ216" s="319">
        <v>3603</v>
      </c>
      <c r="AK216" s="66">
        <v>0</v>
      </c>
      <c r="AL216" s="354">
        <v>3467</v>
      </c>
      <c r="AM216" s="204">
        <f t="shared" si="288"/>
        <v>3467</v>
      </c>
      <c r="AO216" s="66">
        <v>973</v>
      </c>
      <c r="AS216" s="204">
        <f t="shared" si="304"/>
        <v>0</v>
      </c>
      <c r="AT216" s="200">
        <f t="shared" si="305"/>
        <v>-2410</v>
      </c>
      <c r="AU216" s="199">
        <f t="shared" si="306"/>
        <v>-1</v>
      </c>
      <c r="AV216" s="200">
        <f t="shared" si="289"/>
        <v>-2410</v>
      </c>
      <c r="AW216" s="199">
        <f t="shared" si="290"/>
        <v>-1</v>
      </c>
      <c r="AX216" s="204">
        <v>973</v>
      </c>
      <c r="AY216" s="204">
        <f t="shared" ref="AY216:AY255" si="314">AX216-AF216</f>
        <v>-1437</v>
      </c>
      <c r="AZ216" s="304">
        <f t="shared" ref="AZ216:AZ255" si="315">AY216/AF216</f>
        <v>-0.59626556016597509</v>
      </c>
      <c r="BA216" s="560">
        <v>973.18600000000004</v>
      </c>
      <c r="BB216" s="560">
        <v>0</v>
      </c>
      <c r="BC216" s="560">
        <f t="shared" si="307"/>
        <v>973.18600000000004</v>
      </c>
      <c r="BD216" s="304">
        <f t="shared" si="308"/>
        <v>1</v>
      </c>
      <c r="BE216" s="204">
        <v>0</v>
      </c>
      <c r="BF216" s="204">
        <f t="shared" si="291"/>
        <v>-973</v>
      </c>
      <c r="BG216" s="304">
        <f t="shared" si="292"/>
        <v>-1</v>
      </c>
      <c r="BH216" s="200"/>
      <c r="BI216" s="200"/>
      <c r="BJ216" s="200"/>
      <c r="BK216" s="200"/>
      <c r="BL216" s="206">
        <f t="shared" ref="BL216:BL254" si="316">BE216+BH216+BI216+BJ216+BK216</f>
        <v>0</v>
      </c>
      <c r="BM216" s="206">
        <f t="shared" si="293"/>
        <v>0</v>
      </c>
      <c r="BN216" s="206">
        <v>27161</v>
      </c>
      <c r="BO216" s="206">
        <v>34161</v>
      </c>
      <c r="BP216" s="206">
        <f t="shared" si="310"/>
        <v>34161</v>
      </c>
      <c r="BQ216" s="199" t="e">
        <f t="shared" si="294"/>
        <v>#DIV/0!</v>
      </c>
      <c r="BR216" s="205" t="e">
        <f t="shared" si="311"/>
        <v>#DIV/0!</v>
      </c>
      <c r="BS216" s="206">
        <v>19001</v>
      </c>
      <c r="BW216" s="207">
        <f t="shared" si="313"/>
        <v>46162</v>
      </c>
      <c r="BX216" s="206">
        <v>34161</v>
      </c>
      <c r="BY216" s="206"/>
      <c r="BZ216" s="206">
        <v>0</v>
      </c>
      <c r="CA216" s="206">
        <f t="shared" si="312"/>
        <v>0</v>
      </c>
      <c r="CB216" s="199" t="e">
        <f t="shared" si="309"/>
        <v>#DIV/0!</v>
      </c>
      <c r="CC216" s="206">
        <v>8406</v>
      </c>
      <c r="CD216" s="206">
        <v>10702</v>
      </c>
      <c r="CE216" s="206">
        <v>-1000</v>
      </c>
      <c r="CF216" s="206">
        <v>0</v>
      </c>
      <c r="CG216" s="206">
        <f t="shared" si="295"/>
        <v>0</v>
      </c>
      <c r="CH216" s="304" t="e">
        <f t="shared" si="296"/>
        <v>#DIV/0!</v>
      </c>
      <c r="CI216" s="206">
        <v>18653</v>
      </c>
      <c r="CJ216" s="206">
        <v>-6300</v>
      </c>
      <c r="CK216" s="206">
        <f t="shared" si="297"/>
        <v>12353</v>
      </c>
      <c r="CL216" s="206">
        <f t="shared" si="298"/>
        <v>12353</v>
      </c>
      <c r="CM216" s="562" t="e">
        <f t="shared" si="299"/>
        <v>#DIV/0!</v>
      </c>
      <c r="CN216" s="206">
        <v>21036</v>
      </c>
      <c r="CO216" s="206">
        <f t="shared" si="300"/>
        <v>8683</v>
      </c>
      <c r="CP216" s="304">
        <f t="shared" si="301"/>
        <v>0.70290617663725408</v>
      </c>
    </row>
    <row r="217" spans="1:95" ht="18" customHeight="1" x14ac:dyDescent="0.25">
      <c r="A217" s="313" t="s">
        <v>315</v>
      </c>
      <c r="B217" s="310" t="s">
        <v>132</v>
      </c>
      <c r="C217" s="310" t="s">
        <v>132</v>
      </c>
      <c r="D217" s="310" t="s">
        <v>132</v>
      </c>
      <c r="E217" s="310" t="s">
        <v>132</v>
      </c>
      <c r="F217" s="204">
        <v>0</v>
      </c>
      <c r="G217" s="310" t="s">
        <v>132</v>
      </c>
      <c r="H217" s="310" t="s">
        <v>132</v>
      </c>
      <c r="I217" s="204">
        <v>0</v>
      </c>
      <c r="J217" s="204">
        <f t="shared" si="275"/>
        <v>0</v>
      </c>
      <c r="K217" s="310" t="s">
        <v>132</v>
      </c>
      <c r="L217" s="204">
        <v>0</v>
      </c>
      <c r="M217" s="204">
        <v>0</v>
      </c>
      <c r="N217" s="394" t="s">
        <v>132</v>
      </c>
      <c r="O217" s="204">
        <v>0</v>
      </c>
      <c r="P217" s="315">
        <f t="shared" si="302"/>
        <v>0</v>
      </c>
      <c r="Q217" s="394" t="s">
        <v>132</v>
      </c>
      <c r="R217" s="204">
        <v>0</v>
      </c>
      <c r="S217" s="204">
        <f t="shared" si="282"/>
        <v>0</v>
      </c>
      <c r="T217" s="394" t="s">
        <v>132</v>
      </c>
      <c r="U217" s="204">
        <v>0</v>
      </c>
      <c r="V217" s="204">
        <f t="shared" si="303"/>
        <v>0</v>
      </c>
      <c r="W217" s="394" t="s">
        <v>132</v>
      </c>
      <c r="X217" s="201">
        <v>0</v>
      </c>
      <c r="Y217" s="204">
        <f t="shared" si="284"/>
        <v>0</v>
      </c>
      <c r="Z217" s="394" t="s">
        <v>132</v>
      </c>
      <c r="AA217" s="203">
        <v>46000</v>
      </c>
      <c r="AB217" s="374">
        <f t="shared" si="285"/>
        <v>46000</v>
      </c>
      <c r="AC217" s="395" t="s">
        <v>132</v>
      </c>
      <c r="AD217" s="200"/>
      <c r="AE217" s="200"/>
      <c r="AF217" s="204">
        <v>0</v>
      </c>
      <c r="AG217" s="204">
        <f t="shared" si="286"/>
        <v>-46000</v>
      </c>
      <c r="AH217" s="304">
        <f t="shared" si="287"/>
        <v>-1</v>
      </c>
      <c r="AI217" s="319">
        <v>0</v>
      </c>
      <c r="AJ217" s="319">
        <v>0</v>
      </c>
      <c r="AL217" s="354"/>
      <c r="AM217" s="204">
        <f t="shared" si="288"/>
        <v>0</v>
      </c>
      <c r="AN217" s="66">
        <v>0</v>
      </c>
      <c r="AO217" s="66">
        <v>0</v>
      </c>
      <c r="AS217" s="204">
        <f t="shared" si="304"/>
        <v>0</v>
      </c>
      <c r="AT217" s="200">
        <f t="shared" si="305"/>
        <v>0</v>
      </c>
      <c r="AU217" s="199" t="e">
        <f t="shared" si="306"/>
        <v>#DIV/0!</v>
      </c>
      <c r="AV217" s="200">
        <f t="shared" si="289"/>
        <v>0</v>
      </c>
      <c r="AW217" s="199" t="e">
        <f t="shared" si="290"/>
        <v>#DIV/0!</v>
      </c>
      <c r="AX217" s="204">
        <f>40000</f>
        <v>40000</v>
      </c>
      <c r="AY217" s="204">
        <f t="shared" si="314"/>
        <v>40000</v>
      </c>
      <c r="AZ217" s="304" t="e">
        <f t="shared" si="315"/>
        <v>#DIV/0!</v>
      </c>
      <c r="BA217" s="560">
        <v>160.93899999999999</v>
      </c>
      <c r="BB217" s="560">
        <v>0</v>
      </c>
      <c r="BC217" s="560">
        <f t="shared" si="307"/>
        <v>160.93899999999999</v>
      </c>
      <c r="BD217" s="304">
        <f t="shared" si="308"/>
        <v>1</v>
      </c>
      <c r="BE217" s="204">
        <v>0</v>
      </c>
      <c r="BF217" s="204">
        <f t="shared" si="291"/>
        <v>-40000</v>
      </c>
      <c r="BG217" s="304">
        <f t="shared" si="292"/>
        <v>-1</v>
      </c>
      <c r="BH217" s="200"/>
      <c r="BI217" s="200"/>
      <c r="BJ217" s="200"/>
      <c r="BK217" s="200"/>
      <c r="BL217" s="206">
        <f t="shared" si="316"/>
        <v>0</v>
      </c>
      <c r="BM217" s="206">
        <f t="shared" si="293"/>
        <v>0</v>
      </c>
      <c r="BN217" s="206">
        <v>0</v>
      </c>
      <c r="BO217" s="206"/>
      <c r="BP217" s="206">
        <f t="shared" si="310"/>
        <v>0</v>
      </c>
      <c r="BQ217" s="199" t="e">
        <f t="shared" si="294"/>
        <v>#DIV/0!</v>
      </c>
      <c r="BR217" s="205" t="e">
        <f t="shared" si="311"/>
        <v>#DIV/0!</v>
      </c>
      <c r="BW217" s="207">
        <f t="shared" si="313"/>
        <v>0</v>
      </c>
      <c r="BX217" s="206"/>
      <c r="BY217" s="206"/>
      <c r="BZ217" s="206">
        <f t="shared" ref="BZ217:BZ232" si="317">BX217+BY217</f>
        <v>0</v>
      </c>
      <c r="CA217" s="206">
        <f t="shared" si="312"/>
        <v>0</v>
      </c>
      <c r="CB217" s="199" t="e">
        <f t="shared" si="309"/>
        <v>#DIV/0!</v>
      </c>
      <c r="CC217" s="206"/>
      <c r="CD217" s="206"/>
      <c r="CE217" s="206"/>
      <c r="CF217" s="206">
        <f t="shared" ref="CF217:CF232" si="318">CD217+CE217</f>
        <v>0</v>
      </c>
      <c r="CG217" s="206">
        <f t="shared" si="295"/>
        <v>0</v>
      </c>
      <c r="CH217" s="304" t="e">
        <f t="shared" si="296"/>
        <v>#DIV/0!</v>
      </c>
      <c r="CI217" s="206">
        <v>0</v>
      </c>
      <c r="CJ217" s="206"/>
      <c r="CK217" s="206">
        <f t="shared" si="297"/>
        <v>0</v>
      </c>
      <c r="CL217" s="206">
        <f t="shared" si="298"/>
        <v>0</v>
      </c>
      <c r="CM217" s="562" t="e">
        <f t="shared" si="299"/>
        <v>#DIV/0!</v>
      </c>
      <c r="CN217" s="206"/>
      <c r="CO217" s="206">
        <f t="shared" si="300"/>
        <v>0</v>
      </c>
      <c r="CP217" s="304" t="e">
        <f t="shared" si="301"/>
        <v>#DIV/0!</v>
      </c>
    </row>
    <row r="218" spans="1:95" ht="18" customHeight="1" x14ac:dyDescent="0.25">
      <c r="A218" s="312" t="s">
        <v>316</v>
      </c>
      <c r="B218" s="310" t="s">
        <v>132</v>
      </c>
      <c r="C218" s="310" t="s">
        <v>132</v>
      </c>
      <c r="D218" s="310" t="s">
        <v>132</v>
      </c>
      <c r="E218" s="310" t="s">
        <v>132</v>
      </c>
      <c r="F218" s="310" t="s">
        <v>132</v>
      </c>
      <c r="G218" s="310" t="s">
        <v>132</v>
      </c>
      <c r="H218" s="310" t="s">
        <v>132</v>
      </c>
      <c r="I218" s="310" t="s">
        <v>132</v>
      </c>
      <c r="J218" s="310" t="s">
        <v>132</v>
      </c>
      <c r="K218" s="310" t="s">
        <v>132</v>
      </c>
      <c r="L218" s="204">
        <v>0</v>
      </c>
      <c r="M218" s="204">
        <v>0</v>
      </c>
      <c r="N218" s="394" t="s">
        <v>132</v>
      </c>
      <c r="O218" s="204">
        <v>22058</v>
      </c>
      <c r="P218" s="315">
        <f t="shared" si="302"/>
        <v>22058</v>
      </c>
      <c r="Q218" s="394" t="s">
        <v>132</v>
      </c>
      <c r="R218" s="204">
        <v>24574</v>
      </c>
      <c r="S218" s="204">
        <f t="shared" si="282"/>
        <v>2516</v>
      </c>
      <c r="T218" s="304">
        <f t="shared" si="283"/>
        <v>0.11406292501586726</v>
      </c>
      <c r="U218" s="204">
        <v>21893</v>
      </c>
      <c r="V218" s="204">
        <f t="shared" si="303"/>
        <v>-2681</v>
      </c>
      <c r="W218" s="304">
        <f>V218/R218</f>
        <v>-0.10909904777407016</v>
      </c>
      <c r="X218" s="201">
        <v>29896</v>
      </c>
      <c r="Y218" s="204">
        <f t="shared" si="284"/>
        <v>8003</v>
      </c>
      <c r="Z218" s="484">
        <f>Y218/U218</f>
        <v>0.36555063262229937</v>
      </c>
      <c r="AA218" s="203">
        <v>43033</v>
      </c>
      <c r="AB218" s="374">
        <f t="shared" si="285"/>
        <v>13137</v>
      </c>
      <c r="AC218" s="205">
        <f>AB218/X218</f>
        <v>0.43942333422531443</v>
      </c>
      <c r="AD218" s="200">
        <v>46157</v>
      </c>
      <c r="AE218" s="200"/>
      <c r="AF218" s="204">
        <v>43863</v>
      </c>
      <c r="AG218" s="204">
        <f t="shared" si="286"/>
        <v>830</v>
      </c>
      <c r="AH218" s="304">
        <f t="shared" si="287"/>
        <v>1.9287523528454906E-2</v>
      </c>
      <c r="AI218" s="319">
        <v>46157</v>
      </c>
      <c r="AJ218" s="319">
        <v>46157</v>
      </c>
      <c r="AK218" s="66">
        <v>44605</v>
      </c>
      <c r="AL218" s="354"/>
      <c r="AM218" s="204">
        <f t="shared" si="288"/>
        <v>44605</v>
      </c>
      <c r="AN218" s="66">
        <v>49804</v>
      </c>
      <c r="AO218" s="66">
        <v>49804</v>
      </c>
      <c r="AS218" s="204">
        <f t="shared" si="304"/>
        <v>48246.766940000001</v>
      </c>
      <c r="AT218" s="200">
        <f t="shared" si="305"/>
        <v>4383.7669400000013</v>
      </c>
      <c r="AU218" s="199">
        <f t="shared" si="306"/>
        <v>9.9942250644050823E-2</v>
      </c>
      <c r="AV218" s="200">
        <f t="shared" si="289"/>
        <v>4383.7669400000013</v>
      </c>
      <c r="AW218" s="199">
        <f t="shared" si="290"/>
        <v>9.9942250644050823E-2</v>
      </c>
      <c r="AX218" s="204">
        <v>49804</v>
      </c>
      <c r="AY218" s="204">
        <f t="shared" si="314"/>
        <v>5941</v>
      </c>
      <c r="AZ218" s="304">
        <f t="shared" si="315"/>
        <v>0.13544445204386385</v>
      </c>
      <c r="BA218" s="560">
        <v>48819.074000000001</v>
      </c>
      <c r="BB218" s="560">
        <v>48246.766940000001</v>
      </c>
      <c r="BC218" s="560">
        <f t="shared" si="307"/>
        <v>572.30705999999918</v>
      </c>
      <c r="BD218" s="304">
        <f t="shared" si="308"/>
        <v>1.1723021620606715E-2</v>
      </c>
      <c r="BE218" s="204">
        <v>49791</v>
      </c>
      <c r="BF218" s="204">
        <f t="shared" si="291"/>
        <v>-13</v>
      </c>
      <c r="BG218" s="304">
        <f t="shared" si="292"/>
        <v>-2.6102321098706933E-4</v>
      </c>
      <c r="BH218" s="200"/>
      <c r="BI218" s="200"/>
      <c r="BJ218" s="200"/>
      <c r="BK218" s="200"/>
      <c r="BL218" s="206">
        <f t="shared" si="316"/>
        <v>49791</v>
      </c>
      <c r="BM218" s="206">
        <f t="shared" si="293"/>
        <v>1544.2330599999987</v>
      </c>
      <c r="BN218" s="206">
        <v>50036</v>
      </c>
      <c r="BO218" s="206">
        <v>50036</v>
      </c>
      <c r="BP218" s="206">
        <f t="shared" si="310"/>
        <v>245</v>
      </c>
      <c r="BQ218" s="199">
        <f t="shared" si="294"/>
        <v>3.2006974932028441E-2</v>
      </c>
      <c r="BR218" s="205">
        <f t="shared" si="311"/>
        <v>4.9205679741318713E-3</v>
      </c>
      <c r="BW218" s="207">
        <f t="shared" si="313"/>
        <v>50036</v>
      </c>
      <c r="BX218" s="206">
        <v>50036</v>
      </c>
      <c r="BY218" s="206"/>
      <c r="BZ218" s="206">
        <v>49953</v>
      </c>
      <c r="CA218" s="206">
        <f t="shared" si="312"/>
        <v>162</v>
      </c>
      <c r="CB218" s="199">
        <f t="shared" si="309"/>
        <v>3.253600048201482E-3</v>
      </c>
      <c r="CC218" s="206">
        <v>42677</v>
      </c>
      <c r="CD218" s="206">
        <v>42677</v>
      </c>
      <c r="CE218" s="206"/>
      <c r="CF218" s="206">
        <v>45617</v>
      </c>
      <c r="CG218" s="206">
        <f t="shared" si="295"/>
        <v>-4336</v>
      </c>
      <c r="CH218" s="304">
        <f t="shared" si="296"/>
        <v>-8.6801593497888019E-2</v>
      </c>
      <c r="CI218" s="206">
        <v>51548</v>
      </c>
      <c r="CJ218" s="206"/>
      <c r="CK218" s="206">
        <f t="shared" si="297"/>
        <v>51548</v>
      </c>
      <c r="CL218" s="206">
        <f t="shared" si="298"/>
        <v>5931</v>
      </c>
      <c r="CM218" s="562">
        <f t="shared" si="299"/>
        <v>0.1300173181050924</v>
      </c>
      <c r="CN218" s="206">
        <v>48413</v>
      </c>
      <c r="CO218" s="206">
        <f t="shared" si="300"/>
        <v>-3135</v>
      </c>
      <c r="CP218" s="304">
        <f t="shared" si="301"/>
        <v>-6.08171025064018E-2</v>
      </c>
    </row>
    <row r="219" spans="1:95" ht="18" customHeight="1" x14ac:dyDescent="0.25">
      <c r="A219" s="312" t="s">
        <v>317</v>
      </c>
      <c r="B219" s="310" t="s">
        <v>132</v>
      </c>
      <c r="C219" s="310" t="s">
        <v>132</v>
      </c>
      <c r="D219" s="310" t="s">
        <v>132</v>
      </c>
      <c r="E219" s="310" t="s">
        <v>132</v>
      </c>
      <c r="F219" s="415" t="s">
        <v>132</v>
      </c>
      <c r="G219" s="310" t="s">
        <v>132</v>
      </c>
      <c r="H219" s="310" t="s">
        <v>132</v>
      </c>
      <c r="I219" s="310" t="s">
        <v>132</v>
      </c>
      <c r="J219" s="310" t="s">
        <v>132</v>
      </c>
      <c r="K219" s="310" t="s">
        <v>132</v>
      </c>
      <c r="L219" s="204">
        <v>0</v>
      </c>
      <c r="M219" s="204">
        <v>0</v>
      </c>
      <c r="N219" s="394" t="s">
        <v>132</v>
      </c>
      <c r="O219" s="310">
        <v>0</v>
      </c>
      <c r="P219" s="315">
        <f t="shared" si="302"/>
        <v>0</v>
      </c>
      <c r="Q219" s="394" t="s">
        <v>132</v>
      </c>
      <c r="R219" s="204">
        <v>0</v>
      </c>
      <c r="S219" s="204">
        <v>12208</v>
      </c>
      <c r="T219" s="394" t="s">
        <v>132</v>
      </c>
      <c r="U219" s="204">
        <v>0</v>
      </c>
      <c r="V219" s="204">
        <f t="shared" si="303"/>
        <v>0</v>
      </c>
      <c r="W219" s="394" t="s">
        <v>132</v>
      </c>
      <c r="X219" s="201">
        <v>4716</v>
      </c>
      <c r="Y219" s="204">
        <f t="shared" si="284"/>
        <v>4716</v>
      </c>
      <c r="Z219" s="394" t="s">
        <v>132</v>
      </c>
      <c r="AA219" s="203">
        <v>8613</v>
      </c>
      <c r="AB219" s="374">
        <f t="shared" si="285"/>
        <v>3897</v>
      </c>
      <c r="AC219" s="205">
        <f>AB219/X219</f>
        <v>0.82633587786259544</v>
      </c>
      <c r="AD219" s="200">
        <v>8612</v>
      </c>
      <c r="AE219" s="200"/>
      <c r="AF219" s="204">
        <v>8612</v>
      </c>
      <c r="AG219" s="204">
        <f t="shared" si="286"/>
        <v>-1</v>
      </c>
      <c r="AH219" s="304">
        <f t="shared" si="287"/>
        <v>-1.1610356437942645E-4</v>
      </c>
      <c r="AI219" s="200">
        <v>8613</v>
      </c>
      <c r="AJ219" s="200">
        <v>8613</v>
      </c>
      <c r="AK219" s="66">
        <v>8613</v>
      </c>
      <c r="AL219" s="354"/>
      <c r="AM219" s="204">
        <f t="shared" si="288"/>
        <v>8613</v>
      </c>
      <c r="AN219" s="66">
        <v>8613</v>
      </c>
      <c r="AO219" s="66">
        <v>8613</v>
      </c>
      <c r="AS219" s="204">
        <f t="shared" si="304"/>
        <v>8612.9629999999997</v>
      </c>
      <c r="AT219" s="200">
        <f t="shared" si="305"/>
        <v>0.96299999999973807</v>
      </c>
      <c r="AU219" s="199">
        <f t="shared" si="306"/>
        <v>1.1182071528097284E-4</v>
      </c>
      <c r="AV219" s="200">
        <f t="shared" si="289"/>
        <v>0.96299999999973807</v>
      </c>
      <c r="AW219" s="199">
        <f t="shared" si="290"/>
        <v>1.1182071528097284E-4</v>
      </c>
      <c r="AX219" s="204">
        <v>8613</v>
      </c>
      <c r="AY219" s="204">
        <f t="shared" si="314"/>
        <v>1</v>
      </c>
      <c r="AZ219" s="304">
        <f t="shared" si="315"/>
        <v>1.1611704598235021E-4</v>
      </c>
      <c r="BA219" s="560">
        <v>8612.9629999999997</v>
      </c>
      <c r="BB219" s="560">
        <v>8612.9629999999997</v>
      </c>
      <c r="BC219" s="560">
        <f t="shared" si="307"/>
        <v>0</v>
      </c>
      <c r="BD219" s="304">
        <f t="shared" si="308"/>
        <v>0</v>
      </c>
      <c r="BE219" s="204">
        <v>8621</v>
      </c>
      <c r="BF219" s="204">
        <f t="shared" si="291"/>
        <v>8</v>
      </c>
      <c r="BG219" s="304">
        <f t="shared" si="292"/>
        <v>9.288285150354116E-4</v>
      </c>
      <c r="BH219" s="200"/>
      <c r="BI219" s="200"/>
      <c r="BJ219" s="200"/>
      <c r="BK219" s="200"/>
      <c r="BL219" s="206">
        <f t="shared" si="316"/>
        <v>8621</v>
      </c>
      <c r="BM219" s="206">
        <f t="shared" si="293"/>
        <v>8.0370000000002619</v>
      </c>
      <c r="BN219" s="206">
        <v>8626</v>
      </c>
      <c r="BO219" s="206">
        <v>8626</v>
      </c>
      <c r="BP219" s="206">
        <f t="shared" si="310"/>
        <v>5</v>
      </c>
      <c r="BQ219" s="199">
        <f t="shared" si="294"/>
        <v>9.3312835548002029E-4</v>
      </c>
      <c r="BR219" s="205">
        <f t="shared" si="311"/>
        <v>5.7997912075165292E-4</v>
      </c>
      <c r="BW219" s="207">
        <f t="shared" si="313"/>
        <v>8626</v>
      </c>
      <c r="BX219" s="206">
        <v>8626</v>
      </c>
      <c r="BY219" s="206"/>
      <c r="BZ219" s="206">
        <v>8626</v>
      </c>
      <c r="CA219" s="206">
        <f t="shared" si="312"/>
        <v>5</v>
      </c>
      <c r="CB219" s="199">
        <f t="shared" si="309"/>
        <v>5.7997912075165292E-4</v>
      </c>
      <c r="CC219" s="206">
        <v>11863</v>
      </c>
      <c r="CD219" s="206">
        <v>11863</v>
      </c>
      <c r="CE219" s="206"/>
      <c r="CF219" s="206">
        <f t="shared" si="318"/>
        <v>11863</v>
      </c>
      <c r="CG219" s="206">
        <f t="shared" si="295"/>
        <v>3237</v>
      </c>
      <c r="CH219" s="304">
        <f t="shared" si="296"/>
        <v>0.37526083932297705</v>
      </c>
      <c r="CI219" s="206">
        <v>11412</v>
      </c>
      <c r="CJ219" s="206"/>
      <c r="CK219" s="206">
        <f t="shared" si="297"/>
        <v>11412</v>
      </c>
      <c r="CL219" s="206">
        <f t="shared" si="298"/>
        <v>-451</v>
      </c>
      <c r="CM219" s="562">
        <f t="shared" si="299"/>
        <v>-3.801736491612577E-2</v>
      </c>
      <c r="CN219" s="206">
        <v>14276</v>
      </c>
      <c r="CO219" s="206">
        <f t="shared" si="300"/>
        <v>2864</v>
      </c>
      <c r="CP219" s="304">
        <f t="shared" si="301"/>
        <v>0.25096389765159482</v>
      </c>
    </row>
    <row r="220" spans="1:95" ht="18" customHeight="1" x14ac:dyDescent="0.25">
      <c r="A220" s="313" t="s">
        <v>318</v>
      </c>
      <c r="B220" s="310" t="s">
        <v>132</v>
      </c>
      <c r="C220" s="310" t="s">
        <v>132</v>
      </c>
      <c r="D220" s="310" t="s">
        <v>132</v>
      </c>
      <c r="E220" s="310" t="s">
        <v>132</v>
      </c>
      <c r="F220" s="310" t="s">
        <v>132</v>
      </c>
      <c r="G220" s="310" t="s">
        <v>132</v>
      </c>
      <c r="H220" s="310" t="s">
        <v>132</v>
      </c>
      <c r="I220" s="310" t="s">
        <v>132</v>
      </c>
      <c r="J220" s="310" t="s">
        <v>132</v>
      </c>
      <c r="K220" s="310" t="s">
        <v>132</v>
      </c>
      <c r="L220" s="204">
        <v>0</v>
      </c>
      <c r="M220" s="204">
        <v>0</v>
      </c>
      <c r="N220" s="394" t="s">
        <v>132</v>
      </c>
      <c r="O220" s="204">
        <v>375</v>
      </c>
      <c r="P220" s="315">
        <f t="shared" si="302"/>
        <v>375</v>
      </c>
      <c r="Q220" s="394" t="s">
        <v>132</v>
      </c>
      <c r="R220" s="204">
        <v>0</v>
      </c>
      <c r="S220" s="204">
        <f t="shared" ref="S220:S235" si="319">R220-O220</f>
        <v>-375</v>
      </c>
      <c r="T220" s="304">
        <f>S220/O220</f>
        <v>-1</v>
      </c>
      <c r="U220" s="204">
        <v>0</v>
      </c>
      <c r="V220" s="204">
        <f t="shared" si="303"/>
        <v>0</v>
      </c>
      <c r="W220" s="394" t="s">
        <v>132</v>
      </c>
      <c r="Y220" s="204">
        <f t="shared" si="284"/>
        <v>0</v>
      </c>
      <c r="Z220" s="394" t="s">
        <v>132</v>
      </c>
      <c r="AB220" s="374">
        <f t="shared" si="285"/>
        <v>0</v>
      </c>
      <c r="AC220" s="395" t="s">
        <v>132</v>
      </c>
      <c r="AG220" s="204">
        <f t="shared" si="286"/>
        <v>0</v>
      </c>
      <c r="AH220" s="304" t="e">
        <f t="shared" si="287"/>
        <v>#DIV/0!</v>
      </c>
      <c r="AI220" s="200">
        <v>0</v>
      </c>
      <c r="AJ220" s="200">
        <v>0</v>
      </c>
      <c r="AL220" s="354"/>
      <c r="AM220" s="204">
        <f t="shared" si="288"/>
        <v>0</v>
      </c>
      <c r="AS220" s="204">
        <f t="shared" si="304"/>
        <v>0</v>
      </c>
      <c r="AT220" s="200">
        <f t="shared" si="305"/>
        <v>0</v>
      </c>
      <c r="AU220" s="199" t="e">
        <f t="shared" si="306"/>
        <v>#DIV/0!</v>
      </c>
      <c r="AV220" s="200">
        <f t="shared" si="289"/>
        <v>0</v>
      </c>
      <c r="AW220" s="199" t="e">
        <f t="shared" si="290"/>
        <v>#DIV/0!</v>
      </c>
      <c r="AY220" s="204">
        <f t="shared" si="314"/>
        <v>0</v>
      </c>
      <c r="AZ220" s="304" t="e">
        <f t="shared" si="315"/>
        <v>#DIV/0!</v>
      </c>
      <c r="BC220" s="560">
        <f t="shared" si="307"/>
        <v>0</v>
      </c>
      <c r="BF220" s="204">
        <f t="shared" si="291"/>
        <v>0</v>
      </c>
      <c r="BG220" s="304" t="e">
        <f t="shared" si="292"/>
        <v>#DIV/0!</v>
      </c>
      <c r="BH220" s="200"/>
      <c r="BI220" s="200"/>
      <c r="BJ220" s="200"/>
      <c r="BK220" s="200"/>
      <c r="BL220" s="206">
        <f t="shared" si="316"/>
        <v>0</v>
      </c>
      <c r="BM220" s="206">
        <f t="shared" si="293"/>
        <v>0</v>
      </c>
      <c r="BN220" s="206">
        <v>0</v>
      </c>
      <c r="BO220" s="206"/>
      <c r="BP220" s="206">
        <f t="shared" si="310"/>
        <v>0</v>
      </c>
      <c r="BQ220" s="199" t="e">
        <f t="shared" si="294"/>
        <v>#DIV/0!</v>
      </c>
      <c r="BR220" s="205" t="e">
        <f t="shared" si="311"/>
        <v>#DIV/0!</v>
      </c>
      <c r="BW220" s="207">
        <f t="shared" si="313"/>
        <v>0</v>
      </c>
      <c r="BX220" s="206"/>
      <c r="BY220" s="206"/>
      <c r="BZ220" s="206">
        <f t="shared" si="317"/>
        <v>0</v>
      </c>
      <c r="CA220" s="206">
        <f t="shared" si="312"/>
        <v>0</v>
      </c>
      <c r="CB220" s="199" t="e">
        <f t="shared" si="309"/>
        <v>#DIV/0!</v>
      </c>
      <c r="CC220" s="206"/>
      <c r="CD220" s="206"/>
      <c r="CE220" s="206"/>
      <c r="CF220" s="206">
        <f t="shared" si="318"/>
        <v>0</v>
      </c>
      <c r="CG220" s="206">
        <f t="shared" si="295"/>
        <v>0</v>
      </c>
      <c r="CH220" s="304" t="e">
        <f t="shared" si="296"/>
        <v>#DIV/0!</v>
      </c>
      <c r="CI220" s="206">
        <v>0</v>
      </c>
      <c r="CJ220" s="206"/>
      <c r="CK220" s="206">
        <f t="shared" si="297"/>
        <v>0</v>
      </c>
      <c r="CL220" s="206">
        <f t="shared" si="298"/>
        <v>0</v>
      </c>
      <c r="CM220" s="562" t="e">
        <f t="shared" si="299"/>
        <v>#DIV/0!</v>
      </c>
      <c r="CN220" s="206"/>
      <c r="CO220" s="206">
        <f t="shared" si="300"/>
        <v>0</v>
      </c>
      <c r="CP220" s="304" t="e">
        <f t="shared" si="301"/>
        <v>#DIV/0!</v>
      </c>
    </row>
    <row r="221" spans="1:95" ht="18" customHeight="1" x14ac:dyDescent="0.25">
      <c r="A221" s="313" t="s">
        <v>319</v>
      </c>
      <c r="B221" s="310" t="s">
        <v>132</v>
      </c>
      <c r="C221" s="310" t="s">
        <v>132</v>
      </c>
      <c r="D221" s="310" t="s">
        <v>132</v>
      </c>
      <c r="E221" s="310" t="s">
        <v>132</v>
      </c>
      <c r="F221" s="310" t="s">
        <v>132</v>
      </c>
      <c r="G221" s="310" t="s">
        <v>132</v>
      </c>
      <c r="H221" s="310" t="s">
        <v>132</v>
      </c>
      <c r="I221" s="310" t="s">
        <v>132</v>
      </c>
      <c r="J221" s="310" t="s">
        <v>132</v>
      </c>
      <c r="K221" s="310" t="s">
        <v>132</v>
      </c>
      <c r="L221" s="204">
        <v>0</v>
      </c>
      <c r="M221" s="204">
        <v>0</v>
      </c>
      <c r="N221" s="394" t="s">
        <v>132</v>
      </c>
      <c r="O221" s="204">
        <v>20550</v>
      </c>
      <c r="P221" s="315">
        <f t="shared" si="302"/>
        <v>20550</v>
      </c>
      <c r="Q221" s="394" t="s">
        <v>132</v>
      </c>
      <c r="R221" s="204">
        <v>265023</v>
      </c>
      <c r="S221" s="204">
        <f t="shared" si="319"/>
        <v>244473</v>
      </c>
      <c r="T221" s="304">
        <f>S221/O221</f>
        <v>11.896496350364963</v>
      </c>
      <c r="U221" s="204">
        <v>118861</v>
      </c>
      <c r="V221" s="204">
        <f t="shared" si="303"/>
        <v>-146162</v>
      </c>
      <c r="W221" s="394">
        <f>V221/R221</f>
        <v>-0.55150685034883762</v>
      </c>
      <c r="X221" s="201">
        <v>140737</v>
      </c>
      <c r="Y221" s="204">
        <f t="shared" si="284"/>
        <v>21876</v>
      </c>
      <c r="Z221" s="484">
        <f>Y221/U221</f>
        <v>0.18404691193915582</v>
      </c>
      <c r="AA221" s="203">
        <v>125014</v>
      </c>
      <c r="AB221" s="374">
        <f t="shared" si="285"/>
        <v>-15723</v>
      </c>
      <c r="AC221" s="205">
        <f>AB221/X221</f>
        <v>-0.11171902200558488</v>
      </c>
      <c r="AD221" s="200">
        <v>0</v>
      </c>
      <c r="AE221" s="200">
        <v>2984</v>
      </c>
      <c r="AF221" s="204">
        <v>14933</v>
      </c>
      <c r="AG221" s="204">
        <f t="shared" si="286"/>
        <v>-110081</v>
      </c>
      <c r="AH221" s="304">
        <f t="shared" si="287"/>
        <v>-0.88054937846961145</v>
      </c>
      <c r="AI221" s="200">
        <v>2984</v>
      </c>
      <c r="AJ221" s="200">
        <v>2984</v>
      </c>
      <c r="AL221" s="354"/>
      <c r="AM221" s="204">
        <f t="shared" si="288"/>
        <v>0</v>
      </c>
      <c r="AN221" s="66">
        <v>0</v>
      </c>
      <c r="AO221" s="66">
        <v>7900</v>
      </c>
      <c r="AS221" s="204">
        <f t="shared" si="304"/>
        <v>18696.287</v>
      </c>
      <c r="AT221" s="200">
        <f t="shared" si="305"/>
        <v>3763.2870000000003</v>
      </c>
      <c r="AU221" s="199">
        <f t="shared" si="306"/>
        <v>0.25201145114846313</v>
      </c>
      <c r="AV221" s="200">
        <f t="shared" si="289"/>
        <v>3763.2870000000003</v>
      </c>
      <c r="AW221" s="199">
        <f t="shared" si="290"/>
        <v>0.25201145114846313</v>
      </c>
      <c r="AX221" s="204">
        <v>12071</v>
      </c>
      <c r="AY221" s="204">
        <f t="shared" si="314"/>
        <v>-2862</v>
      </c>
      <c r="AZ221" s="304">
        <f t="shared" si="315"/>
        <v>-0.19165606375142302</v>
      </c>
      <c r="BA221" s="560">
        <f>18683.244+13.043</f>
        <v>18696.287</v>
      </c>
      <c r="BB221" s="560">
        <f>18683.244+13.043</f>
        <v>18696.287</v>
      </c>
      <c r="BC221" s="560">
        <f t="shared" si="307"/>
        <v>0</v>
      </c>
      <c r="BD221" s="304">
        <f t="shared" si="308"/>
        <v>0</v>
      </c>
      <c r="BE221" s="204">
        <v>80878</v>
      </c>
      <c r="BF221" s="204">
        <f t="shared" si="291"/>
        <v>68807</v>
      </c>
      <c r="BG221" s="304">
        <f t="shared" si="292"/>
        <v>5.7001905393090881</v>
      </c>
      <c r="BH221" s="200"/>
      <c r="BI221" s="200"/>
      <c r="BJ221" s="200"/>
      <c r="BK221" s="200"/>
      <c r="BL221" s="206">
        <f t="shared" si="316"/>
        <v>80878</v>
      </c>
      <c r="BM221" s="206">
        <f t="shared" si="293"/>
        <v>62181.713000000003</v>
      </c>
      <c r="BN221" s="206">
        <v>31533</v>
      </c>
      <c r="BO221" s="206">
        <v>35803</v>
      </c>
      <c r="BP221" s="206">
        <f t="shared" si="310"/>
        <v>-45075</v>
      </c>
      <c r="BQ221" s="199">
        <f t="shared" si="294"/>
        <v>3.3258856691705687</v>
      </c>
      <c r="BR221" s="205">
        <f t="shared" si="311"/>
        <v>-0.5573209030886026</v>
      </c>
      <c r="BW221" s="207">
        <f t="shared" si="313"/>
        <v>31533</v>
      </c>
      <c r="BX221" s="206">
        <v>35803</v>
      </c>
      <c r="BY221" s="206">
        <v>8000</v>
      </c>
      <c r="BZ221" s="206">
        <v>88201</v>
      </c>
      <c r="CA221" s="206">
        <f t="shared" si="312"/>
        <v>7323</v>
      </c>
      <c r="CB221" s="199">
        <f t="shared" si="309"/>
        <v>9.054378199263087E-2</v>
      </c>
      <c r="CC221" s="206">
        <v>35645</v>
      </c>
      <c r="CD221" s="206">
        <v>44447</v>
      </c>
      <c r="CE221" s="206"/>
      <c r="CF221" s="206">
        <v>59798</v>
      </c>
      <c r="CG221" s="206">
        <f t="shared" si="295"/>
        <v>-28403</v>
      </c>
      <c r="CH221" s="304">
        <f t="shared" si="296"/>
        <v>-0.32202582737157176</v>
      </c>
      <c r="CI221" s="206">
        <v>28937</v>
      </c>
      <c r="CJ221" s="206"/>
      <c r="CK221" s="206">
        <f t="shared" si="297"/>
        <v>28937</v>
      </c>
      <c r="CL221" s="206">
        <f t="shared" si="298"/>
        <v>-30861</v>
      </c>
      <c r="CM221" s="562">
        <f t="shared" si="299"/>
        <v>-0.51608749456503566</v>
      </c>
      <c r="CN221" s="206">
        <v>72291</v>
      </c>
      <c r="CO221" s="206">
        <f t="shared" si="300"/>
        <v>43354</v>
      </c>
      <c r="CP221" s="304">
        <f t="shared" si="301"/>
        <v>1.4982202716245636</v>
      </c>
    </row>
    <row r="222" spans="1:95" ht="18" customHeight="1" x14ac:dyDescent="0.25">
      <c r="A222" s="313" t="s">
        <v>320</v>
      </c>
      <c r="B222" s="302">
        <v>0</v>
      </c>
      <c r="C222" s="302">
        <v>0</v>
      </c>
      <c r="D222" s="416">
        <f t="shared" si="273"/>
        <v>0</v>
      </c>
      <c r="E222" s="310" t="s">
        <v>132</v>
      </c>
      <c r="F222" s="204">
        <v>0</v>
      </c>
      <c r="G222" s="204">
        <f t="shared" si="274"/>
        <v>0</v>
      </c>
      <c r="H222" s="310" t="s">
        <v>132</v>
      </c>
      <c r="I222" s="310">
        <v>0</v>
      </c>
      <c r="J222" s="204">
        <f t="shared" si="275"/>
        <v>0</v>
      </c>
      <c r="K222" s="310" t="s">
        <v>132</v>
      </c>
      <c r="L222" s="204">
        <v>0</v>
      </c>
      <c r="M222" s="204">
        <v>0</v>
      </c>
      <c r="N222" s="394" t="s">
        <v>132</v>
      </c>
      <c r="O222" s="204">
        <v>0</v>
      </c>
      <c r="P222" s="315">
        <f t="shared" si="302"/>
        <v>0</v>
      </c>
      <c r="Q222" s="394" t="s">
        <v>132</v>
      </c>
      <c r="R222" s="204">
        <v>0</v>
      </c>
      <c r="S222" s="204">
        <f t="shared" si="319"/>
        <v>0</v>
      </c>
      <c r="T222" s="394" t="s">
        <v>132</v>
      </c>
      <c r="U222" s="204">
        <v>0</v>
      </c>
      <c r="V222" s="204">
        <f t="shared" si="303"/>
        <v>0</v>
      </c>
      <c r="W222" s="394" t="s">
        <v>132</v>
      </c>
      <c r="Y222" s="204">
        <f t="shared" si="284"/>
        <v>0</v>
      </c>
      <c r="Z222" s="394" t="s">
        <v>132</v>
      </c>
      <c r="AB222" s="374">
        <f t="shared" si="285"/>
        <v>0</v>
      </c>
      <c r="AC222" s="205" t="e">
        <f>AB222/X222</f>
        <v>#DIV/0!</v>
      </c>
      <c r="AG222" s="204">
        <f t="shared" si="286"/>
        <v>0</v>
      </c>
      <c r="AH222" s="304" t="e">
        <f t="shared" si="287"/>
        <v>#DIV/0!</v>
      </c>
      <c r="AI222" s="200">
        <v>0</v>
      </c>
      <c r="AJ222" s="200">
        <v>0</v>
      </c>
      <c r="AL222" s="354"/>
      <c r="AM222" s="204">
        <f t="shared" si="288"/>
        <v>0</v>
      </c>
      <c r="AS222" s="204">
        <f t="shared" si="304"/>
        <v>0</v>
      </c>
      <c r="AT222" s="200">
        <f t="shared" si="305"/>
        <v>0</v>
      </c>
      <c r="AU222" s="199" t="e">
        <f t="shared" si="306"/>
        <v>#DIV/0!</v>
      </c>
      <c r="AV222" s="200">
        <f t="shared" si="289"/>
        <v>0</v>
      </c>
      <c r="AW222" s="199" t="e">
        <f t="shared" si="290"/>
        <v>#DIV/0!</v>
      </c>
      <c r="AY222" s="204">
        <f t="shared" si="314"/>
        <v>0</v>
      </c>
      <c r="AZ222" s="304" t="e">
        <f t="shared" si="315"/>
        <v>#DIV/0!</v>
      </c>
      <c r="BC222" s="560">
        <f t="shared" si="307"/>
        <v>0</v>
      </c>
      <c r="BE222" s="204">
        <v>0</v>
      </c>
      <c r="BF222" s="204">
        <f t="shared" si="291"/>
        <v>0</v>
      </c>
      <c r="BG222" s="304" t="e">
        <f t="shared" si="292"/>
        <v>#DIV/0!</v>
      </c>
      <c r="BH222" s="200"/>
      <c r="BI222" s="200"/>
      <c r="BJ222" s="200"/>
      <c r="BK222" s="200"/>
      <c r="BL222" s="206">
        <f t="shared" si="316"/>
        <v>0</v>
      </c>
      <c r="BM222" s="206">
        <f t="shared" si="293"/>
        <v>0</v>
      </c>
      <c r="BN222" s="206">
        <v>0</v>
      </c>
      <c r="BO222" s="206"/>
      <c r="BP222" s="206">
        <f t="shared" si="310"/>
        <v>0</v>
      </c>
      <c r="BQ222" s="199" t="e">
        <f t="shared" si="294"/>
        <v>#DIV/0!</v>
      </c>
      <c r="BR222" s="205" t="e">
        <f t="shared" si="311"/>
        <v>#DIV/0!</v>
      </c>
      <c r="BW222" s="207">
        <f t="shared" si="313"/>
        <v>0</v>
      </c>
      <c r="BX222" s="206"/>
      <c r="BY222" s="206"/>
      <c r="BZ222" s="206">
        <f t="shared" si="317"/>
        <v>0</v>
      </c>
      <c r="CA222" s="206">
        <f t="shared" si="312"/>
        <v>0</v>
      </c>
      <c r="CB222" s="199" t="e">
        <f t="shared" si="309"/>
        <v>#DIV/0!</v>
      </c>
      <c r="CC222" s="206"/>
      <c r="CD222" s="206"/>
      <c r="CE222" s="206"/>
      <c r="CF222" s="206">
        <f t="shared" si="318"/>
        <v>0</v>
      </c>
      <c r="CG222" s="206">
        <f t="shared" si="295"/>
        <v>0</v>
      </c>
      <c r="CH222" s="304" t="e">
        <f t="shared" si="296"/>
        <v>#DIV/0!</v>
      </c>
      <c r="CI222" s="206"/>
      <c r="CJ222" s="206"/>
      <c r="CK222" s="206">
        <f t="shared" si="297"/>
        <v>0</v>
      </c>
      <c r="CL222" s="206">
        <f t="shared" si="298"/>
        <v>0</v>
      </c>
      <c r="CM222" s="562" t="e">
        <f t="shared" si="299"/>
        <v>#DIV/0!</v>
      </c>
      <c r="CN222" s="206"/>
      <c r="CO222" s="206">
        <f t="shared" si="300"/>
        <v>0</v>
      </c>
      <c r="CP222" s="304" t="e">
        <f t="shared" si="301"/>
        <v>#DIV/0!</v>
      </c>
    </row>
    <row r="223" spans="1:95" s="317" customFormat="1" ht="18" customHeight="1" x14ac:dyDescent="0.25">
      <c r="A223" s="68" t="s">
        <v>321</v>
      </c>
      <c r="B223" s="310" t="s">
        <v>132</v>
      </c>
      <c r="C223" s="310" t="s">
        <v>132</v>
      </c>
      <c r="D223" s="310" t="s">
        <v>132</v>
      </c>
      <c r="E223" s="310" t="s">
        <v>132</v>
      </c>
      <c r="F223" s="302" t="s">
        <v>132</v>
      </c>
      <c r="G223" s="302" t="s">
        <v>132</v>
      </c>
      <c r="H223" s="310" t="s">
        <v>132</v>
      </c>
      <c r="I223" s="302" t="s">
        <v>132</v>
      </c>
      <c r="J223" s="302" t="s">
        <v>132</v>
      </c>
      <c r="K223" s="310" t="s">
        <v>132</v>
      </c>
      <c r="L223" s="204">
        <v>0</v>
      </c>
      <c r="M223" s="204">
        <v>0</v>
      </c>
      <c r="N223" s="394" t="s">
        <v>132</v>
      </c>
      <c r="O223" s="315">
        <v>4935</v>
      </c>
      <c r="P223" s="315">
        <f t="shared" si="302"/>
        <v>4935</v>
      </c>
      <c r="Q223" s="394" t="s">
        <v>132</v>
      </c>
      <c r="R223" s="204">
        <v>9196</v>
      </c>
      <c r="S223" s="204">
        <f t="shared" si="319"/>
        <v>4261</v>
      </c>
      <c r="T223" s="304">
        <f>S223/O223</f>
        <v>0.86342451874366766</v>
      </c>
      <c r="U223" s="204">
        <v>6406</v>
      </c>
      <c r="V223" s="204">
        <f t="shared" si="303"/>
        <v>-2790</v>
      </c>
      <c r="W223" s="394">
        <f>V223/R223</f>
        <v>-0.30339277946933452</v>
      </c>
      <c r="X223" s="201">
        <v>16216</v>
      </c>
      <c r="Y223" s="204">
        <f t="shared" si="284"/>
        <v>9810</v>
      </c>
      <c r="Z223" s="484">
        <f>Y223/U223</f>
        <v>1.5313768342179206</v>
      </c>
      <c r="AA223" s="203">
        <v>15000</v>
      </c>
      <c r="AB223" s="374">
        <f t="shared" si="285"/>
        <v>-1216</v>
      </c>
      <c r="AC223" s="205">
        <f>AB223/X223</f>
        <v>-7.4987666502220024E-2</v>
      </c>
      <c r="AD223" s="318">
        <v>15000</v>
      </c>
      <c r="AE223" s="318"/>
      <c r="AF223" s="204">
        <v>6514</v>
      </c>
      <c r="AG223" s="204">
        <f t="shared" si="286"/>
        <v>-8486</v>
      </c>
      <c r="AH223" s="304">
        <f t="shared" si="287"/>
        <v>-0.56573333333333331</v>
      </c>
      <c r="AI223" s="318">
        <v>15000</v>
      </c>
      <c r="AJ223" s="318">
        <v>15000</v>
      </c>
      <c r="AK223" s="317">
        <v>15000</v>
      </c>
      <c r="AL223" s="354"/>
      <c r="AM223" s="204">
        <f t="shared" si="288"/>
        <v>15000</v>
      </c>
      <c r="AN223" s="317">
        <v>15000</v>
      </c>
      <c r="AO223" s="317">
        <v>15000</v>
      </c>
      <c r="AR223" s="66"/>
      <c r="AS223" s="204">
        <f t="shared" si="304"/>
        <v>5884.4930599999998</v>
      </c>
      <c r="AT223" s="200">
        <f t="shared" si="305"/>
        <v>-629.50694000000021</v>
      </c>
      <c r="AU223" s="199">
        <f t="shared" si="306"/>
        <v>-9.6639075836659538E-2</v>
      </c>
      <c r="AV223" s="200">
        <f t="shared" si="289"/>
        <v>-629.50694000000021</v>
      </c>
      <c r="AW223" s="199">
        <f t="shared" si="290"/>
        <v>-9.6639075836659538E-2</v>
      </c>
      <c r="AX223" s="315">
        <v>15000</v>
      </c>
      <c r="AY223" s="204">
        <f t="shared" si="314"/>
        <v>8486</v>
      </c>
      <c r="AZ223" s="304">
        <f t="shared" si="315"/>
        <v>1.3027325759901751</v>
      </c>
      <c r="BA223" s="560">
        <v>15000</v>
      </c>
      <c r="BB223" s="560">
        <v>5884.4930599999998</v>
      </c>
      <c r="BC223" s="560">
        <f t="shared" si="307"/>
        <v>9115.5069399999993</v>
      </c>
      <c r="BD223" s="304">
        <f t="shared" si="308"/>
        <v>0.60770046266666666</v>
      </c>
      <c r="BE223" s="315">
        <v>4348</v>
      </c>
      <c r="BF223" s="204">
        <f t="shared" si="291"/>
        <v>-10652</v>
      </c>
      <c r="BG223" s="304">
        <f t="shared" si="292"/>
        <v>-0.71013333333333328</v>
      </c>
      <c r="BH223" s="200"/>
      <c r="BI223" s="200"/>
      <c r="BJ223" s="200"/>
      <c r="BK223" s="200"/>
      <c r="BL223" s="206">
        <f t="shared" si="316"/>
        <v>4348</v>
      </c>
      <c r="BM223" s="206">
        <f t="shared" si="293"/>
        <v>-1536.4930599999998</v>
      </c>
      <c r="BN223" s="206">
        <v>6000</v>
      </c>
      <c r="BO223" s="206">
        <v>6000</v>
      </c>
      <c r="BP223" s="206">
        <f t="shared" si="310"/>
        <v>1652</v>
      </c>
      <c r="BQ223" s="199">
        <f t="shared" si="294"/>
        <v>-0.2611088235355995</v>
      </c>
      <c r="BR223" s="205">
        <f t="shared" si="311"/>
        <v>0.37994480220791166</v>
      </c>
      <c r="BS223" s="413"/>
      <c r="BW223" s="207">
        <f t="shared" si="313"/>
        <v>6000</v>
      </c>
      <c r="BX223" s="206">
        <v>6000</v>
      </c>
      <c r="BY223" s="206"/>
      <c r="BZ223" s="206">
        <v>4420</v>
      </c>
      <c r="CA223" s="206">
        <f t="shared" si="312"/>
        <v>72</v>
      </c>
      <c r="CB223" s="199">
        <f t="shared" si="309"/>
        <v>1.655933762649494E-2</v>
      </c>
      <c r="CC223" s="413">
        <v>6000</v>
      </c>
      <c r="CD223" s="413">
        <v>6000</v>
      </c>
      <c r="CE223" s="413"/>
      <c r="CF223" s="206">
        <v>983</v>
      </c>
      <c r="CG223" s="206">
        <f t="shared" si="295"/>
        <v>-3437</v>
      </c>
      <c r="CH223" s="304">
        <f t="shared" si="296"/>
        <v>-0.77760180995475114</v>
      </c>
      <c r="CI223" s="413">
        <v>6000</v>
      </c>
      <c r="CJ223" s="413"/>
      <c r="CK223" s="413">
        <f t="shared" si="297"/>
        <v>6000</v>
      </c>
      <c r="CL223" s="206">
        <f t="shared" si="298"/>
        <v>5017</v>
      </c>
      <c r="CM223" s="562">
        <f t="shared" si="299"/>
        <v>5.1037639877924716</v>
      </c>
      <c r="CN223" s="413">
        <v>6000</v>
      </c>
      <c r="CO223" s="206">
        <f t="shared" si="300"/>
        <v>0</v>
      </c>
      <c r="CP223" s="304">
        <f t="shared" si="301"/>
        <v>0</v>
      </c>
    </row>
    <row r="224" spans="1:95" s="317" customFormat="1" ht="18" customHeight="1" x14ac:dyDescent="0.25">
      <c r="A224" s="68" t="s">
        <v>322</v>
      </c>
      <c r="B224" s="310" t="s">
        <v>132</v>
      </c>
      <c r="C224" s="310" t="s">
        <v>132</v>
      </c>
      <c r="D224" s="310" t="s">
        <v>132</v>
      </c>
      <c r="E224" s="310" t="s">
        <v>132</v>
      </c>
      <c r="F224" s="416" t="s">
        <v>132</v>
      </c>
      <c r="G224" s="302" t="s">
        <v>132</v>
      </c>
      <c r="H224" s="310" t="s">
        <v>132</v>
      </c>
      <c r="I224" s="416" t="s">
        <v>132</v>
      </c>
      <c r="J224" s="302" t="s">
        <v>132</v>
      </c>
      <c r="K224" s="310" t="s">
        <v>132</v>
      </c>
      <c r="L224" s="315">
        <v>65896</v>
      </c>
      <c r="M224" s="204">
        <v>65896</v>
      </c>
      <c r="N224" s="394" t="s">
        <v>132</v>
      </c>
      <c r="O224" s="302">
        <v>0</v>
      </c>
      <c r="P224" s="315">
        <f t="shared" si="302"/>
        <v>-65896</v>
      </c>
      <c r="Q224" s="304">
        <f>P224/L224</f>
        <v>-1</v>
      </c>
      <c r="R224" s="204">
        <v>0</v>
      </c>
      <c r="S224" s="204">
        <f t="shared" si="319"/>
        <v>0</v>
      </c>
      <c r="T224" s="394" t="s">
        <v>132</v>
      </c>
      <c r="U224" s="204">
        <v>0</v>
      </c>
      <c r="V224" s="204">
        <f t="shared" si="303"/>
        <v>0</v>
      </c>
      <c r="W224" s="394" t="s">
        <v>132</v>
      </c>
      <c r="X224" s="201"/>
      <c r="Y224" s="204"/>
      <c r="Z224" s="484"/>
      <c r="AA224" s="203"/>
      <c r="AB224" s="374"/>
      <c r="AC224" s="205"/>
      <c r="AF224" s="204"/>
      <c r="AG224" s="204">
        <f t="shared" si="286"/>
        <v>0</v>
      </c>
      <c r="AH224" s="304" t="e">
        <f t="shared" si="287"/>
        <v>#DIV/0!</v>
      </c>
      <c r="AL224" s="354"/>
      <c r="AM224" s="204">
        <f t="shared" si="288"/>
        <v>0</v>
      </c>
      <c r="AR224" s="66"/>
      <c r="AS224" s="204">
        <f t="shared" si="304"/>
        <v>0</v>
      </c>
      <c r="AT224" s="200">
        <f t="shared" si="305"/>
        <v>0</v>
      </c>
      <c r="AU224" s="199" t="e">
        <f t="shared" si="306"/>
        <v>#DIV/0!</v>
      </c>
      <c r="AV224" s="200">
        <f t="shared" si="289"/>
        <v>0</v>
      </c>
      <c r="AW224" s="199" t="e">
        <f t="shared" si="290"/>
        <v>#DIV/0!</v>
      </c>
      <c r="AX224" s="315"/>
      <c r="AY224" s="204">
        <f t="shared" si="314"/>
        <v>0</v>
      </c>
      <c r="AZ224" s="304" t="e">
        <f t="shared" si="315"/>
        <v>#DIV/0!</v>
      </c>
      <c r="BA224" s="304"/>
      <c r="BB224" s="304"/>
      <c r="BC224" s="560">
        <f t="shared" si="307"/>
        <v>0</v>
      </c>
      <c r="BD224" s="304"/>
      <c r="BE224" s="315">
        <v>0</v>
      </c>
      <c r="BF224" s="204">
        <f t="shared" si="291"/>
        <v>0</v>
      </c>
      <c r="BG224" s="304" t="e">
        <f t="shared" si="292"/>
        <v>#DIV/0!</v>
      </c>
      <c r="BH224" s="200"/>
      <c r="BI224" s="200"/>
      <c r="BJ224" s="200"/>
      <c r="BK224" s="200"/>
      <c r="BL224" s="206">
        <f t="shared" si="316"/>
        <v>0</v>
      </c>
      <c r="BM224" s="206">
        <f t="shared" si="293"/>
        <v>0</v>
      </c>
      <c r="BN224" s="206">
        <v>0</v>
      </c>
      <c r="BO224" s="206"/>
      <c r="BP224" s="206">
        <f t="shared" si="310"/>
        <v>0</v>
      </c>
      <c r="BQ224" s="199" t="e">
        <f t="shared" si="294"/>
        <v>#DIV/0!</v>
      </c>
      <c r="BR224" s="205" t="e">
        <f t="shared" si="311"/>
        <v>#DIV/0!</v>
      </c>
      <c r="BS224" s="413"/>
      <c r="BW224" s="207">
        <f t="shared" si="313"/>
        <v>0</v>
      </c>
      <c r="BX224" s="206"/>
      <c r="BY224" s="206"/>
      <c r="BZ224" s="206">
        <f t="shared" si="317"/>
        <v>0</v>
      </c>
      <c r="CA224" s="206">
        <f t="shared" si="312"/>
        <v>0</v>
      </c>
      <c r="CB224" s="199" t="e">
        <f t="shared" si="309"/>
        <v>#DIV/0!</v>
      </c>
      <c r="CC224" s="413"/>
      <c r="CD224" s="413"/>
      <c r="CE224" s="413"/>
      <c r="CF224" s="206">
        <f t="shared" si="318"/>
        <v>0</v>
      </c>
      <c r="CG224" s="206">
        <f t="shared" si="295"/>
        <v>0</v>
      </c>
      <c r="CH224" s="304" t="e">
        <f t="shared" si="296"/>
        <v>#DIV/0!</v>
      </c>
      <c r="CI224" s="413"/>
      <c r="CJ224" s="413"/>
      <c r="CK224" s="413">
        <f t="shared" si="297"/>
        <v>0</v>
      </c>
      <c r="CL224" s="206">
        <f t="shared" si="298"/>
        <v>0</v>
      </c>
      <c r="CM224" s="562" t="e">
        <f t="shared" si="299"/>
        <v>#DIV/0!</v>
      </c>
      <c r="CN224" s="413"/>
      <c r="CO224" s="206">
        <f t="shared" si="300"/>
        <v>0</v>
      </c>
      <c r="CP224" s="304" t="e">
        <f t="shared" si="301"/>
        <v>#DIV/0!</v>
      </c>
    </row>
    <row r="225" spans="1:94" s="317" customFormat="1" ht="18" customHeight="1" x14ac:dyDescent="0.25">
      <c r="A225" s="68" t="s">
        <v>323</v>
      </c>
      <c r="B225" s="310" t="s">
        <v>132</v>
      </c>
      <c r="C225" s="310" t="s">
        <v>132</v>
      </c>
      <c r="D225" s="310" t="s">
        <v>132</v>
      </c>
      <c r="E225" s="310" t="s">
        <v>132</v>
      </c>
      <c r="F225" s="310" t="s">
        <v>132</v>
      </c>
      <c r="G225" s="302" t="s">
        <v>132</v>
      </c>
      <c r="H225" s="310" t="s">
        <v>132</v>
      </c>
      <c r="I225" s="310" t="s">
        <v>132</v>
      </c>
      <c r="J225" s="302" t="s">
        <v>132</v>
      </c>
      <c r="K225" s="310" t="s">
        <v>132</v>
      </c>
      <c r="L225" s="315">
        <v>0</v>
      </c>
      <c r="M225" s="204">
        <v>0</v>
      </c>
      <c r="N225" s="394" t="s">
        <v>132</v>
      </c>
      <c r="O225" s="302">
        <v>0</v>
      </c>
      <c r="P225" s="315">
        <f t="shared" si="302"/>
        <v>0</v>
      </c>
      <c r="Q225" s="395" t="s">
        <v>132</v>
      </c>
      <c r="R225" s="204">
        <v>138000</v>
      </c>
      <c r="S225" s="204">
        <f t="shared" si="319"/>
        <v>138000</v>
      </c>
      <c r="T225" s="395" t="s">
        <v>132</v>
      </c>
      <c r="U225" s="204">
        <v>4700</v>
      </c>
      <c r="V225" s="315">
        <f t="shared" si="303"/>
        <v>-133300</v>
      </c>
      <c r="W225" s="316">
        <f>V225/R225</f>
        <v>-0.96594202898550729</v>
      </c>
      <c r="X225" s="201">
        <v>110907</v>
      </c>
      <c r="Y225" s="204">
        <f>X225-U225</f>
        <v>106207</v>
      </c>
      <c r="Z225" s="484">
        <f>Y225/U225</f>
        <v>22.597234042553193</v>
      </c>
      <c r="AA225" s="423">
        <v>81100</v>
      </c>
      <c r="AB225" s="374">
        <f>AA224-X225</f>
        <v>-110907</v>
      </c>
      <c r="AC225" s="205">
        <f>AB225/X225</f>
        <v>-1</v>
      </c>
      <c r="AD225" s="318">
        <v>90700</v>
      </c>
      <c r="AE225" s="318"/>
      <c r="AF225" s="204">
        <v>90700</v>
      </c>
      <c r="AG225" s="204">
        <f t="shared" si="286"/>
        <v>9600</v>
      </c>
      <c r="AH225" s="304">
        <f t="shared" si="287"/>
        <v>0.11837237977805179</v>
      </c>
      <c r="AI225" s="317">
        <v>90700</v>
      </c>
      <c r="AJ225" s="317">
        <v>90700</v>
      </c>
      <c r="AK225" s="317">
        <v>96700</v>
      </c>
      <c r="AL225" s="354"/>
      <c r="AM225" s="204">
        <f t="shared" si="288"/>
        <v>96700</v>
      </c>
      <c r="AN225" s="317">
        <v>98700</v>
      </c>
      <c r="AO225" s="317">
        <v>98700</v>
      </c>
      <c r="AR225" s="66"/>
      <c r="AS225" s="204">
        <f t="shared" si="304"/>
        <v>94200</v>
      </c>
      <c r="AT225" s="200">
        <f t="shared" si="305"/>
        <v>3500</v>
      </c>
      <c r="AU225" s="199">
        <f t="shared" si="306"/>
        <v>3.8588754134509372E-2</v>
      </c>
      <c r="AV225" s="200">
        <f t="shared" si="289"/>
        <v>3500</v>
      </c>
      <c r="AW225" s="199">
        <f t="shared" si="290"/>
        <v>3.8588754134509372E-2</v>
      </c>
      <c r="AX225" s="315">
        <v>98700</v>
      </c>
      <c r="AY225" s="204">
        <f t="shared" si="314"/>
        <v>8000</v>
      </c>
      <c r="AZ225" s="304">
        <f t="shared" si="315"/>
        <v>8.8202866593164272E-2</v>
      </c>
      <c r="BA225" s="560">
        <v>98700</v>
      </c>
      <c r="BB225" s="560">
        <v>94200</v>
      </c>
      <c r="BC225" s="560">
        <f t="shared" si="307"/>
        <v>4500</v>
      </c>
      <c r="BD225" s="304">
        <f t="shared" si="308"/>
        <v>4.5592705167173252E-2</v>
      </c>
      <c r="BE225" s="315">
        <v>109800</v>
      </c>
      <c r="BF225" s="204">
        <f t="shared" si="291"/>
        <v>11100</v>
      </c>
      <c r="BG225" s="304">
        <f t="shared" si="292"/>
        <v>0.11246200607902736</v>
      </c>
      <c r="BH225" s="200"/>
      <c r="BI225" s="200"/>
      <c r="BJ225" s="200"/>
      <c r="BK225" s="200"/>
      <c r="BL225" s="206">
        <f t="shared" si="316"/>
        <v>109800</v>
      </c>
      <c r="BM225" s="206">
        <f t="shared" si="293"/>
        <v>15600</v>
      </c>
      <c r="BN225" s="206">
        <v>107800</v>
      </c>
      <c r="BO225" s="206">
        <v>107800</v>
      </c>
      <c r="BP225" s="206">
        <f t="shared" si="310"/>
        <v>-2000</v>
      </c>
      <c r="BQ225" s="199">
        <f t="shared" si="294"/>
        <v>0.16560509554140126</v>
      </c>
      <c r="BR225" s="205">
        <f t="shared" si="311"/>
        <v>-1.8214936247723135E-2</v>
      </c>
      <c r="BS225" s="413"/>
      <c r="BW225" s="207">
        <f t="shared" si="313"/>
        <v>107800</v>
      </c>
      <c r="BX225" s="206">
        <v>107800</v>
      </c>
      <c r="BY225" s="206"/>
      <c r="BZ225" s="206">
        <f t="shared" si="317"/>
        <v>107800</v>
      </c>
      <c r="CA225" s="206">
        <f t="shared" si="312"/>
        <v>-2000</v>
      </c>
      <c r="CB225" s="199">
        <f t="shared" si="309"/>
        <v>-1.8214936247723135E-2</v>
      </c>
      <c r="CC225" s="413">
        <v>107800</v>
      </c>
      <c r="CD225" s="413">
        <v>107800</v>
      </c>
      <c r="CE225" s="413">
        <v>-20708</v>
      </c>
      <c r="CF225" s="206">
        <v>86600</v>
      </c>
      <c r="CG225" s="206">
        <f t="shared" si="295"/>
        <v>-21200</v>
      </c>
      <c r="CH225" s="304">
        <f t="shared" si="296"/>
        <v>-0.19666048237476808</v>
      </c>
      <c r="CI225" s="413">
        <v>91400</v>
      </c>
      <c r="CJ225" s="413"/>
      <c r="CK225" s="413">
        <f t="shared" si="297"/>
        <v>91400</v>
      </c>
      <c r="CL225" s="206">
        <f t="shared" si="298"/>
        <v>4800</v>
      </c>
      <c r="CM225" s="562">
        <f t="shared" si="299"/>
        <v>5.5427251732101619E-2</v>
      </c>
      <c r="CN225" s="413">
        <v>95400</v>
      </c>
      <c r="CO225" s="206">
        <f t="shared" si="300"/>
        <v>4000</v>
      </c>
      <c r="CP225" s="304">
        <f t="shared" si="301"/>
        <v>4.3763676148796497E-2</v>
      </c>
    </row>
    <row r="226" spans="1:94" s="317" customFormat="1" ht="18" customHeight="1" x14ac:dyDescent="0.25">
      <c r="A226" s="68" t="s">
        <v>324</v>
      </c>
      <c r="B226" s="310"/>
      <c r="C226" s="310"/>
      <c r="D226" s="416">
        <f t="shared" si="273"/>
        <v>0</v>
      </c>
      <c r="E226" s="310" t="s">
        <v>132</v>
      </c>
      <c r="F226" s="315"/>
      <c r="G226" s="204">
        <f t="shared" si="274"/>
        <v>0</v>
      </c>
      <c r="H226" s="310" t="s">
        <v>132</v>
      </c>
      <c r="I226" s="315"/>
      <c r="J226" s="204">
        <f t="shared" si="275"/>
        <v>0</v>
      </c>
      <c r="K226" s="310" t="s">
        <v>132</v>
      </c>
      <c r="L226" s="315">
        <v>0</v>
      </c>
      <c r="M226" s="204">
        <v>0</v>
      </c>
      <c r="N226" s="394" t="s">
        <v>132</v>
      </c>
      <c r="O226" s="302">
        <v>0</v>
      </c>
      <c r="P226" s="315">
        <f t="shared" si="302"/>
        <v>0</v>
      </c>
      <c r="Q226" s="394" t="s">
        <v>132</v>
      </c>
      <c r="R226" s="204">
        <v>0</v>
      </c>
      <c r="S226" s="204">
        <f t="shared" si="319"/>
        <v>0</v>
      </c>
      <c r="T226" s="394" t="s">
        <v>132</v>
      </c>
      <c r="U226" s="204">
        <v>0</v>
      </c>
      <c r="V226" s="315">
        <f t="shared" si="303"/>
        <v>0</v>
      </c>
      <c r="W226" s="394" t="s">
        <v>132</v>
      </c>
      <c r="X226" s="201">
        <v>2512</v>
      </c>
      <c r="Y226" s="204">
        <f>X226-U226</f>
        <v>2512</v>
      </c>
      <c r="Z226" s="394" t="s">
        <v>132</v>
      </c>
      <c r="AA226" s="203">
        <v>6000</v>
      </c>
      <c r="AB226" s="374">
        <f>AA225-X226</f>
        <v>78588</v>
      </c>
      <c r="AC226" s="205">
        <f>AB226/X226</f>
        <v>31.285031847133759</v>
      </c>
      <c r="AD226" s="68">
        <v>0</v>
      </c>
      <c r="AE226" s="68">
        <v>4861</v>
      </c>
      <c r="AF226" s="204">
        <v>2149</v>
      </c>
      <c r="AG226" s="204">
        <f t="shared" si="286"/>
        <v>-3851</v>
      </c>
      <c r="AH226" s="304">
        <f t="shared" si="287"/>
        <v>-0.64183333333333337</v>
      </c>
      <c r="AI226" s="317">
        <v>0</v>
      </c>
      <c r="AJ226" s="318">
        <v>4861</v>
      </c>
      <c r="AK226" s="317">
        <v>0</v>
      </c>
      <c r="AL226" s="354"/>
      <c r="AM226" s="204">
        <f t="shared" si="288"/>
        <v>0</v>
      </c>
      <c r="AN226" s="317">
        <v>0</v>
      </c>
      <c r="AO226" s="317">
        <v>7574</v>
      </c>
      <c r="AR226" s="66"/>
      <c r="AS226" s="204">
        <f t="shared" si="304"/>
        <v>4782.4245799999999</v>
      </c>
      <c r="AT226" s="200">
        <f t="shared" si="305"/>
        <v>2633.4245799999999</v>
      </c>
      <c r="AU226" s="199">
        <f t="shared" si="306"/>
        <v>1.2254186040018613</v>
      </c>
      <c r="AV226" s="200">
        <f t="shared" si="289"/>
        <v>2633.4245799999999</v>
      </c>
      <c r="AW226" s="199">
        <f t="shared" si="290"/>
        <v>1.2254186040018613</v>
      </c>
      <c r="AX226" s="315">
        <v>7574</v>
      </c>
      <c r="AY226" s="204">
        <f t="shared" si="314"/>
        <v>5425</v>
      </c>
      <c r="AZ226" s="304">
        <f t="shared" si="315"/>
        <v>2.5244299674267099</v>
      </c>
      <c r="BA226" s="560">
        <v>7574.2250000000004</v>
      </c>
      <c r="BB226" s="560">
        <v>4782.4245799999999</v>
      </c>
      <c r="BC226" s="560">
        <f t="shared" si="307"/>
        <v>2791.8004200000005</v>
      </c>
      <c r="BD226" s="304">
        <f t="shared" si="308"/>
        <v>0.36859222164643912</v>
      </c>
      <c r="BE226" s="315">
        <v>5574</v>
      </c>
      <c r="BF226" s="204">
        <f t="shared" si="291"/>
        <v>-2000</v>
      </c>
      <c r="BG226" s="304">
        <f t="shared" si="292"/>
        <v>-0.26406126221283338</v>
      </c>
      <c r="BH226" s="200"/>
      <c r="BI226" s="200"/>
      <c r="BJ226" s="200"/>
      <c r="BK226" s="200"/>
      <c r="BL226" s="206">
        <f t="shared" si="316"/>
        <v>5574</v>
      </c>
      <c r="BM226" s="206">
        <f t="shared" si="293"/>
        <v>791.57542000000012</v>
      </c>
      <c r="BN226" s="206">
        <v>8222</v>
      </c>
      <c r="BO226" s="206">
        <v>8222</v>
      </c>
      <c r="BP226" s="206">
        <f t="shared" si="310"/>
        <v>2648</v>
      </c>
      <c r="BQ226" s="199">
        <f t="shared" si="294"/>
        <v>0.16551759609766814</v>
      </c>
      <c r="BR226" s="205">
        <f t="shared" si="311"/>
        <v>0.47506279153211339</v>
      </c>
      <c r="BS226" s="413"/>
      <c r="BW226" s="207">
        <f t="shared" si="313"/>
        <v>8222</v>
      </c>
      <c r="BX226" s="206">
        <v>8222</v>
      </c>
      <c r="BY226" s="206"/>
      <c r="BZ226" s="206">
        <v>6665</v>
      </c>
      <c r="CA226" s="206">
        <f t="shared" si="312"/>
        <v>1091</v>
      </c>
      <c r="CB226" s="199">
        <f t="shared" si="309"/>
        <v>0.19573017581628993</v>
      </c>
      <c r="CC226" s="413">
        <v>7824</v>
      </c>
      <c r="CD226" s="413">
        <v>7824</v>
      </c>
      <c r="CE226" s="413"/>
      <c r="CF226" s="206">
        <f t="shared" si="318"/>
        <v>7824</v>
      </c>
      <c r="CG226" s="206">
        <f t="shared" si="295"/>
        <v>1159</v>
      </c>
      <c r="CH226" s="304">
        <f t="shared" si="296"/>
        <v>0.17389347336834207</v>
      </c>
      <c r="CI226" s="413">
        <v>7839</v>
      </c>
      <c r="CJ226" s="413"/>
      <c r="CK226" s="413">
        <f t="shared" si="297"/>
        <v>7839</v>
      </c>
      <c r="CL226" s="206">
        <f t="shared" si="298"/>
        <v>15</v>
      </c>
      <c r="CM226" s="562">
        <f t="shared" si="299"/>
        <v>1.9171779141104294E-3</v>
      </c>
      <c r="CN226" s="413">
        <v>7832</v>
      </c>
      <c r="CO226" s="206">
        <f t="shared" si="300"/>
        <v>-7</v>
      </c>
      <c r="CP226" s="304">
        <f t="shared" si="301"/>
        <v>-8.9297104222477359E-4</v>
      </c>
    </row>
    <row r="227" spans="1:94" s="317" customFormat="1" ht="18" customHeight="1" x14ac:dyDescent="0.25">
      <c r="A227" s="68" t="s">
        <v>325</v>
      </c>
      <c r="B227" s="68"/>
      <c r="C227" s="68"/>
      <c r="D227" s="416">
        <f t="shared" si="273"/>
        <v>0</v>
      </c>
      <c r="E227" s="310" t="s">
        <v>132</v>
      </c>
      <c r="F227" s="68"/>
      <c r="G227" s="204">
        <f t="shared" si="274"/>
        <v>0</v>
      </c>
      <c r="H227" s="310" t="s">
        <v>132</v>
      </c>
      <c r="I227" s="68"/>
      <c r="J227" s="204">
        <f t="shared" si="275"/>
        <v>0</v>
      </c>
      <c r="K227" s="310" t="s">
        <v>132</v>
      </c>
      <c r="L227" s="315"/>
      <c r="M227" s="204"/>
      <c r="N227" s="394"/>
      <c r="O227" s="302"/>
      <c r="P227" s="315"/>
      <c r="Q227" s="394"/>
      <c r="R227" s="204"/>
      <c r="S227" s="204"/>
      <c r="T227" s="394"/>
      <c r="U227" s="204">
        <v>0</v>
      </c>
      <c r="V227" s="315"/>
      <c r="W227" s="394"/>
      <c r="X227" s="201">
        <v>46397</v>
      </c>
      <c r="Y227" s="204">
        <f>X227-U227</f>
        <v>46397</v>
      </c>
      <c r="Z227" s="394" t="s">
        <v>132</v>
      </c>
      <c r="AA227" s="203">
        <v>50044</v>
      </c>
      <c r="AB227" s="374">
        <f>AA226-X227</f>
        <v>-40397</v>
      </c>
      <c r="AC227" s="205">
        <f>AB227/X227</f>
        <v>-0.87068129404918426</v>
      </c>
      <c r="AD227" s="319">
        <v>0</v>
      </c>
      <c r="AE227" s="319">
        <v>32081</v>
      </c>
      <c r="AF227" s="204">
        <v>32081</v>
      </c>
      <c r="AG227" s="204">
        <f t="shared" si="286"/>
        <v>-17963</v>
      </c>
      <c r="AH227" s="304">
        <f t="shared" si="287"/>
        <v>-0.35894412916633361</v>
      </c>
      <c r="AI227" s="317">
        <v>0</v>
      </c>
      <c r="AJ227" s="317">
        <v>32081</v>
      </c>
      <c r="AK227" s="317">
        <v>0</v>
      </c>
      <c r="AL227" s="354"/>
      <c r="AM227" s="204">
        <f t="shared" si="288"/>
        <v>0</v>
      </c>
      <c r="AN227" s="68">
        <v>0</v>
      </c>
      <c r="AO227" s="68">
        <v>29582</v>
      </c>
      <c r="AR227" s="66"/>
      <c r="AS227" s="204">
        <f t="shared" si="304"/>
        <v>30336</v>
      </c>
      <c r="AT227" s="200">
        <f t="shared" si="305"/>
        <v>-1745</v>
      </c>
      <c r="AU227" s="199">
        <f t="shared" si="306"/>
        <v>-5.4393566285340235E-2</v>
      </c>
      <c r="AV227" s="200">
        <f t="shared" si="289"/>
        <v>-1745</v>
      </c>
      <c r="AW227" s="199">
        <f t="shared" si="290"/>
        <v>-5.4393566285340235E-2</v>
      </c>
      <c r="AX227" s="315">
        <f>29582</f>
        <v>29582</v>
      </c>
      <c r="AY227" s="204">
        <f t="shared" si="314"/>
        <v>-2499</v>
      </c>
      <c r="AZ227" s="304">
        <f t="shared" si="315"/>
        <v>-7.7896574296312457E-2</v>
      </c>
      <c r="BA227" s="560">
        <v>30336</v>
      </c>
      <c r="BB227" s="560">
        <v>30336</v>
      </c>
      <c r="BC227" s="560">
        <f t="shared" si="307"/>
        <v>0</v>
      </c>
      <c r="BD227" s="304">
        <f t="shared" si="308"/>
        <v>0</v>
      </c>
      <c r="BE227" s="315">
        <v>55231</v>
      </c>
      <c r="BF227" s="204">
        <f t="shared" si="291"/>
        <v>25649</v>
      </c>
      <c r="BG227" s="304">
        <f t="shared" si="292"/>
        <v>0.86704752890271108</v>
      </c>
      <c r="BH227" s="200"/>
      <c r="BI227" s="200"/>
      <c r="BJ227" s="200"/>
      <c r="BK227" s="200"/>
      <c r="BL227" s="206">
        <f t="shared" si="316"/>
        <v>55231</v>
      </c>
      <c r="BM227" s="206">
        <f t="shared" si="293"/>
        <v>24895</v>
      </c>
      <c r="BN227" s="206">
        <v>47020</v>
      </c>
      <c r="BO227" s="206">
        <v>47020</v>
      </c>
      <c r="BP227" s="206">
        <f t="shared" si="310"/>
        <v>-8211</v>
      </c>
      <c r="BQ227" s="199">
        <f t="shared" si="294"/>
        <v>0.82064214135021096</v>
      </c>
      <c r="BR227" s="205">
        <f t="shared" si="311"/>
        <v>-0.14866650974995926</v>
      </c>
      <c r="BS227" s="413"/>
      <c r="BW227" s="207">
        <f t="shared" si="313"/>
        <v>47020</v>
      </c>
      <c r="BX227" s="309">
        <v>0</v>
      </c>
      <c r="BY227" s="309"/>
      <c r="BZ227" s="206">
        <f t="shared" si="317"/>
        <v>0</v>
      </c>
      <c r="CA227" s="206">
        <f t="shared" si="312"/>
        <v>-55231</v>
      </c>
      <c r="CB227" s="199">
        <f t="shared" si="309"/>
        <v>-1</v>
      </c>
      <c r="CC227" s="413">
        <v>0</v>
      </c>
      <c r="CD227" s="413"/>
      <c r="CE227" s="413"/>
      <c r="CF227" s="206">
        <f t="shared" si="318"/>
        <v>0</v>
      </c>
      <c r="CG227" s="206">
        <f t="shared" si="295"/>
        <v>0</v>
      </c>
      <c r="CH227" s="304" t="e">
        <f t="shared" si="296"/>
        <v>#DIV/0!</v>
      </c>
      <c r="CI227" s="413"/>
      <c r="CJ227" s="413"/>
      <c r="CK227" s="413">
        <f t="shared" si="297"/>
        <v>0</v>
      </c>
      <c r="CL227" s="206">
        <f t="shared" si="298"/>
        <v>0</v>
      </c>
      <c r="CM227" s="562" t="e">
        <f t="shared" si="299"/>
        <v>#DIV/0!</v>
      </c>
      <c r="CN227" s="413"/>
      <c r="CO227" s="206">
        <f t="shared" si="300"/>
        <v>0</v>
      </c>
      <c r="CP227" s="304" t="e">
        <f t="shared" si="301"/>
        <v>#DIV/0!</v>
      </c>
    </row>
    <row r="228" spans="1:94" s="317" customFormat="1" ht="18" customHeight="1" x14ac:dyDescent="0.25">
      <c r="A228" s="317" t="s">
        <v>326</v>
      </c>
      <c r="B228" s="310" t="s">
        <v>132</v>
      </c>
      <c r="C228" s="310" t="s">
        <v>132</v>
      </c>
      <c r="D228" s="310" t="s">
        <v>132</v>
      </c>
      <c r="E228" s="310" t="s">
        <v>132</v>
      </c>
      <c r="F228" s="310">
        <v>0</v>
      </c>
      <c r="G228" s="416" t="s">
        <v>132</v>
      </c>
      <c r="H228" s="310" t="s">
        <v>132</v>
      </c>
      <c r="I228" s="310">
        <v>10624</v>
      </c>
      <c r="J228" s="204">
        <f t="shared" si="275"/>
        <v>10624</v>
      </c>
      <c r="K228" s="310" t="s">
        <v>132</v>
      </c>
      <c r="L228" s="315"/>
      <c r="M228" s="204"/>
      <c r="N228" s="394"/>
      <c r="O228" s="302"/>
      <c r="P228" s="315"/>
      <c r="Q228" s="394"/>
      <c r="R228" s="204"/>
      <c r="S228" s="204"/>
      <c r="T228" s="394"/>
      <c r="U228" s="204"/>
      <c r="V228" s="315"/>
      <c r="W228" s="394"/>
      <c r="X228" s="201"/>
      <c r="Y228" s="204"/>
      <c r="Z228" s="484"/>
      <c r="AA228" s="203"/>
      <c r="AB228" s="374"/>
      <c r="AC228" s="205"/>
      <c r="AD228" s="317">
        <v>0</v>
      </c>
      <c r="AF228" s="204">
        <v>0</v>
      </c>
      <c r="AG228" s="204">
        <f t="shared" si="286"/>
        <v>0</v>
      </c>
      <c r="AH228" s="304" t="e">
        <f t="shared" si="287"/>
        <v>#DIV/0!</v>
      </c>
      <c r="AI228" s="317">
        <v>0</v>
      </c>
      <c r="AJ228" s="317">
        <v>0</v>
      </c>
      <c r="AK228" s="317">
        <v>0</v>
      </c>
      <c r="AL228" s="354"/>
      <c r="AM228" s="204">
        <f t="shared" si="288"/>
        <v>0</v>
      </c>
      <c r="AN228" s="68">
        <v>0</v>
      </c>
      <c r="AO228" s="68">
        <v>0</v>
      </c>
      <c r="AR228" s="66"/>
      <c r="AS228" s="204">
        <f t="shared" si="304"/>
        <v>0</v>
      </c>
      <c r="AT228" s="200">
        <f t="shared" si="305"/>
        <v>0</v>
      </c>
      <c r="AU228" s="199" t="e">
        <f t="shared" si="306"/>
        <v>#DIV/0!</v>
      </c>
      <c r="AV228" s="200">
        <f t="shared" si="289"/>
        <v>0</v>
      </c>
      <c r="AW228" s="199" t="e">
        <f t="shared" si="290"/>
        <v>#DIV/0!</v>
      </c>
      <c r="AX228" s="315">
        <v>0</v>
      </c>
      <c r="AY228" s="204">
        <f t="shared" si="314"/>
        <v>0</v>
      </c>
      <c r="AZ228" s="304" t="e">
        <f t="shared" si="315"/>
        <v>#DIV/0!</v>
      </c>
      <c r="BA228" s="304"/>
      <c r="BB228" s="304"/>
      <c r="BC228" s="560">
        <f t="shared" si="307"/>
        <v>0</v>
      </c>
      <c r="BD228" s="304"/>
      <c r="BE228" s="315">
        <v>0</v>
      </c>
      <c r="BF228" s="204">
        <f t="shared" si="291"/>
        <v>0</v>
      </c>
      <c r="BG228" s="304" t="e">
        <f t="shared" si="292"/>
        <v>#DIV/0!</v>
      </c>
      <c r="BH228" s="200"/>
      <c r="BI228" s="200"/>
      <c r="BJ228" s="200"/>
      <c r="BK228" s="200"/>
      <c r="BL228" s="206">
        <f t="shared" si="316"/>
        <v>0</v>
      </c>
      <c r="BM228" s="206">
        <f t="shared" si="293"/>
        <v>0</v>
      </c>
      <c r="BN228" s="206">
        <v>0</v>
      </c>
      <c r="BO228" s="206"/>
      <c r="BP228" s="206">
        <f t="shared" si="310"/>
        <v>0</v>
      </c>
      <c r="BQ228" s="199" t="e">
        <f t="shared" si="294"/>
        <v>#DIV/0!</v>
      </c>
      <c r="BR228" s="205" t="e">
        <f t="shared" si="311"/>
        <v>#DIV/0!</v>
      </c>
      <c r="BS228" s="413"/>
      <c r="BW228" s="207">
        <f t="shared" si="313"/>
        <v>0</v>
      </c>
      <c r="BX228" s="206">
        <v>0</v>
      </c>
      <c r="BY228" s="206"/>
      <c r="BZ228" s="206">
        <f t="shared" si="317"/>
        <v>0</v>
      </c>
      <c r="CA228" s="206">
        <f t="shared" si="312"/>
        <v>0</v>
      </c>
      <c r="CB228" s="199" t="e">
        <f t="shared" si="309"/>
        <v>#DIV/0!</v>
      </c>
      <c r="CC228" s="413"/>
      <c r="CD228" s="413"/>
      <c r="CE228" s="413"/>
      <c r="CF228" s="206">
        <f t="shared" si="318"/>
        <v>0</v>
      </c>
      <c r="CG228" s="206">
        <f t="shared" si="295"/>
        <v>0</v>
      </c>
      <c r="CH228" s="304" t="e">
        <f t="shared" si="296"/>
        <v>#DIV/0!</v>
      </c>
      <c r="CI228" s="413"/>
      <c r="CJ228" s="413"/>
      <c r="CK228" s="413">
        <f t="shared" si="297"/>
        <v>0</v>
      </c>
      <c r="CL228" s="206">
        <f t="shared" si="298"/>
        <v>0</v>
      </c>
      <c r="CM228" s="562" t="e">
        <f t="shared" si="299"/>
        <v>#DIV/0!</v>
      </c>
      <c r="CN228" s="413"/>
      <c r="CO228" s="206">
        <f t="shared" si="300"/>
        <v>0</v>
      </c>
      <c r="CP228" s="304" t="e">
        <f t="shared" si="301"/>
        <v>#DIV/0!</v>
      </c>
    </row>
    <row r="229" spans="1:94" s="317" customFormat="1" ht="18" customHeight="1" x14ac:dyDescent="0.25">
      <c r="A229" s="317" t="s">
        <v>327</v>
      </c>
      <c r="B229" s="310" t="s">
        <v>132</v>
      </c>
      <c r="C229" s="310" t="s">
        <v>132</v>
      </c>
      <c r="D229" s="310" t="s">
        <v>132</v>
      </c>
      <c r="E229" s="310" t="s">
        <v>132</v>
      </c>
      <c r="F229" s="416" t="s">
        <v>132</v>
      </c>
      <c r="G229" s="416" t="s">
        <v>132</v>
      </c>
      <c r="H229" s="310" t="s">
        <v>132</v>
      </c>
      <c r="I229" s="416" t="s">
        <v>132</v>
      </c>
      <c r="J229" s="416" t="s">
        <v>132</v>
      </c>
      <c r="K229" s="310" t="s">
        <v>132</v>
      </c>
      <c r="L229" s="315"/>
      <c r="M229" s="204"/>
      <c r="N229" s="394"/>
      <c r="O229" s="302"/>
      <c r="P229" s="315"/>
      <c r="Q229" s="394"/>
      <c r="R229" s="204"/>
      <c r="S229" s="204"/>
      <c r="T229" s="394"/>
      <c r="U229" s="204"/>
      <c r="V229" s="315"/>
      <c r="W229" s="394"/>
      <c r="X229" s="201"/>
      <c r="Y229" s="204"/>
      <c r="Z229" s="484"/>
      <c r="AA229" s="203"/>
      <c r="AB229" s="374"/>
      <c r="AC229" s="205"/>
      <c r="AD229" s="319">
        <v>0</v>
      </c>
      <c r="AE229" s="319">
        <v>45992</v>
      </c>
      <c r="AF229" s="204">
        <v>34140</v>
      </c>
      <c r="AG229" s="204">
        <f t="shared" si="286"/>
        <v>34140</v>
      </c>
      <c r="AH229" s="304" t="e">
        <f t="shared" si="287"/>
        <v>#DIV/0!</v>
      </c>
      <c r="AI229" s="317">
        <v>45992</v>
      </c>
      <c r="AJ229" s="317">
        <v>45992</v>
      </c>
      <c r="AK229" s="68">
        <v>0</v>
      </c>
      <c r="AL229" s="354"/>
      <c r="AM229" s="204">
        <f t="shared" si="288"/>
        <v>0</v>
      </c>
      <c r="AN229" s="68">
        <v>0</v>
      </c>
      <c r="AO229" s="68">
        <v>67904</v>
      </c>
      <c r="AR229" s="66"/>
      <c r="AS229" s="204">
        <f t="shared" si="304"/>
        <v>58253.516000000003</v>
      </c>
      <c r="AT229" s="200">
        <f t="shared" si="305"/>
        <v>24113.516000000003</v>
      </c>
      <c r="AU229" s="199">
        <f t="shared" si="306"/>
        <v>0.70631271236086712</v>
      </c>
      <c r="AV229" s="200">
        <f t="shared" si="289"/>
        <v>24113.516000000003</v>
      </c>
      <c r="AW229" s="199">
        <f t="shared" si="290"/>
        <v>0.70631271236086712</v>
      </c>
      <c r="AX229" s="315">
        <f>61304</f>
        <v>61304</v>
      </c>
      <c r="AY229" s="204">
        <f t="shared" si="314"/>
        <v>27164</v>
      </c>
      <c r="AZ229" s="304">
        <f t="shared" si="315"/>
        <v>0.79566490919742239</v>
      </c>
      <c r="BA229" s="591">
        <v>58253.516000000003</v>
      </c>
      <c r="BB229" s="591">
        <v>58253.516000000003</v>
      </c>
      <c r="BC229" s="560">
        <f t="shared" si="307"/>
        <v>0</v>
      </c>
      <c r="BD229" s="304">
        <f t="shared" si="308"/>
        <v>0</v>
      </c>
      <c r="BE229" s="315">
        <v>54494</v>
      </c>
      <c r="BF229" s="204">
        <f t="shared" si="291"/>
        <v>-6810</v>
      </c>
      <c r="BG229" s="304">
        <f t="shared" si="292"/>
        <v>-0.11108573665666188</v>
      </c>
      <c r="BH229" s="200"/>
      <c r="BI229" s="200"/>
      <c r="BJ229" s="200"/>
      <c r="BK229" s="200"/>
      <c r="BL229" s="206">
        <f t="shared" si="316"/>
        <v>54494</v>
      </c>
      <c r="BM229" s="206">
        <f t="shared" si="293"/>
        <v>-3759.5160000000033</v>
      </c>
      <c r="BN229" s="206">
        <v>71461</v>
      </c>
      <c r="BO229" s="206">
        <v>71461</v>
      </c>
      <c r="BP229" s="206">
        <f t="shared" si="310"/>
        <v>16967</v>
      </c>
      <c r="BQ229" s="199">
        <f t="shared" si="294"/>
        <v>-6.4537151714584975E-2</v>
      </c>
      <c r="BR229" s="205">
        <f t="shared" si="311"/>
        <v>0.31135537857378792</v>
      </c>
      <c r="BS229" s="413"/>
      <c r="BW229" s="207">
        <f t="shared" si="313"/>
        <v>71461</v>
      </c>
      <c r="BX229" s="206">
        <v>0</v>
      </c>
      <c r="BY229" s="206"/>
      <c r="BZ229" s="206">
        <f t="shared" si="317"/>
        <v>0</v>
      </c>
      <c r="CA229" s="206">
        <f t="shared" si="312"/>
        <v>-54494</v>
      </c>
      <c r="CB229" s="199">
        <f t="shared" si="309"/>
        <v>-1</v>
      </c>
      <c r="CC229" s="413"/>
      <c r="CD229" s="413"/>
      <c r="CE229" s="413"/>
      <c r="CF229" s="206">
        <v>12627</v>
      </c>
      <c r="CG229" s="206">
        <f t="shared" si="295"/>
        <v>12627</v>
      </c>
      <c r="CH229" s="304" t="e">
        <f t="shared" si="296"/>
        <v>#DIV/0!</v>
      </c>
      <c r="CI229" s="413"/>
      <c r="CJ229" s="413">
        <v>9907</v>
      </c>
      <c r="CK229" s="413">
        <f t="shared" si="297"/>
        <v>9907</v>
      </c>
      <c r="CL229" s="206">
        <f t="shared" si="298"/>
        <v>-2720</v>
      </c>
      <c r="CM229" s="562">
        <f t="shared" si="299"/>
        <v>-0.21541141997307356</v>
      </c>
      <c r="CN229" s="413"/>
      <c r="CO229" s="206">
        <f t="shared" si="300"/>
        <v>-9907</v>
      </c>
      <c r="CP229" s="304">
        <f t="shared" si="301"/>
        <v>-1</v>
      </c>
    </row>
    <row r="230" spans="1:94" s="317" customFormat="1" ht="18" customHeight="1" x14ac:dyDescent="0.25">
      <c r="A230" s="317" t="s">
        <v>328</v>
      </c>
      <c r="B230" s="310" t="s">
        <v>132</v>
      </c>
      <c r="C230" s="310" t="s">
        <v>132</v>
      </c>
      <c r="D230" s="310" t="s">
        <v>132</v>
      </c>
      <c r="E230" s="310" t="s">
        <v>132</v>
      </c>
      <c r="F230" s="416" t="s">
        <v>132</v>
      </c>
      <c r="G230" s="416" t="s">
        <v>132</v>
      </c>
      <c r="H230" s="310" t="s">
        <v>132</v>
      </c>
      <c r="I230" s="416" t="s">
        <v>132</v>
      </c>
      <c r="J230" s="416" t="s">
        <v>132</v>
      </c>
      <c r="K230" s="310" t="s">
        <v>132</v>
      </c>
      <c r="L230" s="315"/>
      <c r="M230" s="204"/>
      <c r="N230" s="394"/>
      <c r="O230" s="302"/>
      <c r="P230" s="315"/>
      <c r="Q230" s="394"/>
      <c r="R230" s="204"/>
      <c r="S230" s="204"/>
      <c r="T230" s="394"/>
      <c r="U230" s="204"/>
      <c r="V230" s="315"/>
      <c r="W230" s="394"/>
      <c r="X230" s="201"/>
      <c r="Y230" s="204"/>
      <c r="Z230" s="484"/>
      <c r="AA230" s="652"/>
      <c r="AB230" s="374"/>
      <c r="AC230" s="205"/>
      <c r="AD230" s="68">
        <v>0</v>
      </c>
      <c r="AE230" s="68">
        <v>29762</v>
      </c>
      <c r="AF230" s="204">
        <v>24889</v>
      </c>
      <c r="AG230" s="204">
        <f t="shared" si="286"/>
        <v>24889</v>
      </c>
      <c r="AH230" s="304" t="e">
        <f t="shared" si="287"/>
        <v>#DIV/0!</v>
      </c>
      <c r="AI230" s="68">
        <v>0</v>
      </c>
      <c r="AJ230" s="68">
        <v>29762</v>
      </c>
      <c r="AL230" s="354"/>
      <c r="AM230" s="204">
        <f t="shared" si="288"/>
        <v>0</v>
      </c>
      <c r="AN230" s="68">
        <v>0</v>
      </c>
      <c r="AO230" s="68">
        <v>37678</v>
      </c>
      <c r="AR230" s="66"/>
      <c r="AS230" s="204">
        <f t="shared" si="304"/>
        <v>30001.348720000002</v>
      </c>
      <c r="AT230" s="200">
        <f t="shared" si="305"/>
        <v>5112.3487200000018</v>
      </c>
      <c r="AU230" s="199">
        <f t="shared" si="306"/>
        <v>0.20540595122343211</v>
      </c>
      <c r="AV230" s="200">
        <f t="shared" si="289"/>
        <v>5112.3487200000018</v>
      </c>
      <c r="AW230" s="199">
        <f t="shared" si="290"/>
        <v>0.20540595122343211</v>
      </c>
      <c r="AX230" s="315">
        <v>37678</v>
      </c>
      <c r="AY230" s="204">
        <f t="shared" si="314"/>
        <v>12789</v>
      </c>
      <c r="AZ230" s="304">
        <f t="shared" si="315"/>
        <v>0.51384145606492826</v>
      </c>
      <c r="BA230" s="560">
        <v>31273</v>
      </c>
      <c r="BB230" s="560">
        <v>30001.348720000002</v>
      </c>
      <c r="BC230" s="560">
        <f t="shared" si="307"/>
        <v>1271.6512799999982</v>
      </c>
      <c r="BD230" s="304">
        <f t="shared" si="308"/>
        <v>4.0662913055990735E-2</v>
      </c>
      <c r="BE230" s="315">
        <v>39432</v>
      </c>
      <c r="BF230" s="204">
        <f t="shared" si="291"/>
        <v>1754</v>
      </c>
      <c r="BG230" s="304">
        <f t="shared" si="292"/>
        <v>4.6552364775200382E-2</v>
      </c>
      <c r="BH230" s="200"/>
      <c r="BI230" s="200"/>
      <c r="BJ230" s="200"/>
      <c r="BK230" s="200"/>
      <c r="BL230" s="206">
        <f t="shared" si="316"/>
        <v>39432</v>
      </c>
      <c r="BM230" s="206">
        <f t="shared" si="293"/>
        <v>9430.6512799999982</v>
      </c>
      <c r="BN230" s="206">
        <v>36472</v>
      </c>
      <c r="BO230" s="206">
        <v>36472</v>
      </c>
      <c r="BP230" s="206">
        <f t="shared" si="310"/>
        <v>-2960</v>
      </c>
      <c r="BQ230" s="199">
        <f t="shared" si="294"/>
        <v>0.31434091073756226</v>
      </c>
      <c r="BR230" s="205">
        <f t="shared" si="311"/>
        <v>-7.5065936295394597E-2</v>
      </c>
      <c r="BS230" s="413"/>
      <c r="BW230" s="207">
        <f t="shared" si="313"/>
        <v>36472</v>
      </c>
      <c r="BX230" s="206">
        <v>36472</v>
      </c>
      <c r="BY230" s="206"/>
      <c r="BZ230" s="206">
        <v>35111</v>
      </c>
      <c r="CA230" s="206">
        <f t="shared" si="312"/>
        <v>-4321</v>
      </c>
      <c r="CB230" s="199">
        <f t="shared" si="309"/>
        <v>-0.10958105092310813</v>
      </c>
      <c r="CC230" s="413">
        <v>40306</v>
      </c>
      <c r="CD230" s="413">
        <v>40306</v>
      </c>
      <c r="CE230" s="413"/>
      <c r="CF230" s="206">
        <v>41488</v>
      </c>
      <c r="CG230" s="206">
        <f t="shared" si="295"/>
        <v>6377</v>
      </c>
      <c r="CH230" s="304">
        <f t="shared" si="296"/>
        <v>0.18162399248098887</v>
      </c>
      <c r="CI230" s="413">
        <v>37685</v>
      </c>
      <c r="CJ230" s="413"/>
      <c r="CK230" s="413">
        <f t="shared" si="297"/>
        <v>37685</v>
      </c>
      <c r="CL230" s="206">
        <f t="shared" si="298"/>
        <v>-3803</v>
      </c>
      <c r="CM230" s="562">
        <f t="shared" si="299"/>
        <v>-9.1665059776320862E-2</v>
      </c>
      <c r="CN230" s="413">
        <v>22500</v>
      </c>
      <c r="CO230" s="206">
        <f t="shared" si="300"/>
        <v>-15185</v>
      </c>
      <c r="CP230" s="304">
        <f t="shared" si="301"/>
        <v>-0.40294546901950379</v>
      </c>
    </row>
    <row r="231" spans="1:94" s="317" customFormat="1" ht="18" customHeight="1" x14ac:dyDescent="0.25">
      <c r="A231" s="317" t="s">
        <v>329</v>
      </c>
      <c r="B231" s="310" t="s">
        <v>132</v>
      </c>
      <c r="C231" s="310" t="s">
        <v>132</v>
      </c>
      <c r="D231" s="310" t="s">
        <v>132</v>
      </c>
      <c r="E231" s="310" t="s">
        <v>132</v>
      </c>
      <c r="F231" s="416" t="s">
        <v>132</v>
      </c>
      <c r="G231" s="416" t="s">
        <v>132</v>
      </c>
      <c r="H231" s="310" t="s">
        <v>132</v>
      </c>
      <c r="I231" s="416" t="s">
        <v>132</v>
      </c>
      <c r="J231" s="416" t="s">
        <v>132</v>
      </c>
      <c r="K231" s="310" t="s">
        <v>132</v>
      </c>
      <c r="L231" s="315"/>
      <c r="M231" s="204"/>
      <c r="N231" s="394"/>
      <c r="O231" s="302"/>
      <c r="P231" s="315"/>
      <c r="Q231" s="394"/>
      <c r="R231" s="204"/>
      <c r="S231" s="204"/>
      <c r="T231" s="394"/>
      <c r="U231" s="204"/>
      <c r="V231" s="315"/>
      <c r="W231" s="394"/>
      <c r="X231" s="201"/>
      <c r="Y231" s="204"/>
      <c r="Z231" s="484"/>
      <c r="AA231" s="423"/>
      <c r="AB231" s="374"/>
      <c r="AC231" s="205"/>
      <c r="AD231" s="319">
        <v>0</v>
      </c>
      <c r="AE231" s="319">
        <v>93054</v>
      </c>
      <c r="AF231" s="204">
        <v>93054</v>
      </c>
      <c r="AG231" s="204">
        <f t="shared" si="286"/>
        <v>93054</v>
      </c>
      <c r="AH231" s="304" t="e">
        <f t="shared" si="287"/>
        <v>#DIV/0!</v>
      </c>
      <c r="AI231" s="68">
        <v>0</v>
      </c>
      <c r="AJ231" s="68">
        <v>93054</v>
      </c>
      <c r="AL231" s="354"/>
      <c r="AM231" s="204">
        <f t="shared" si="288"/>
        <v>0</v>
      </c>
      <c r="AN231" s="68">
        <v>0</v>
      </c>
      <c r="AO231" s="317">
        <v>101696</v>
      </c>
      <c r="AR231" s="66"/>
      <c r="AS231" s="204">
        <f t="shared" si="304"/>
        <v>96844</v>
      </c>
      <c r="AT231" s="200">
        <f t="shared" si="305"/>
        <v>3790</v>
      </c>
      <c r="AU231" s="199">
        <f t="shared" si="306"/>
        <v>4.0729039052593119E-2</v>
      </c>
      <c r="AV231" s="200">
        <f t="shared" si="289"/>
        <v>3790</v>
      </c>
      <c r="AW231" s="199">
        <f t="shared" si="290"/>
        <v>4.0729039052593119E-2</v>
      </c>
      <c r="AX231" s="315">
        <f>101696</f>
        <v>101696</v>
      </c>
      <c r="AY231" s="204">
        <f t="shared" si="314"/>
        <v>8642</v>
      </c>
      <c r="AZ231" s="304">
        <f t="shared" si="315"/>
        <v>9.2870806198551384E-2</v>
      </c>
      <c r="BA231" s="560">
        <v>96844</v>
      </c>
      <c r="BB231" s="560">
        <v>96844</v>
      </c>
      <c r="BC231" s="560">
        <f t="shared" si="307"/>
        <v>0</v>
      </c>
      <c r="BD231" s="304">
        <f t="shared" si="308"/>
        <v>0</v>
      </c>
      <c r="BE231" s="315">
        <v>101093</v>
      </c>
      <c r="BF231" s="204">
        <f t="shared" si="291"/>
        <v>-603</v>
      </c>
      <c r="BG231" s="304">
        <f t="shared" si="292"/>
        <v>-5.9294367526746385E-3</v>
      </c>
      <c r="BH231" s="200"/>
      <c r="BI231" s="200"/>
      <c r="BJ231" s="200"/>
      <c r="BK231" s="200"/>
      <c r="BL231" s="206">
        <f t="shared" si="316"/>
        <v>101093</v>
      </c>
      <c r="BM231" s="206">
        <f t="shared" si="293"/>
        <v>4249</v>
      </c>
      <c r="BN231" s="206">
        <v>103729</v>
      </c>
      <c r="BO231" s="206">
        <v>103729</v>
      </c>
      <c r="BP231" s="206">
        <f t="shared" si="310"/>
        <v>2636</v>
      </c>
      <c r="BQ231" s="199">
        <f t="shared" si="294"/>
        <v>4.3874685060509684E-2</v>
      </c>
      <c r="BR231" s="205">
        <f t="shared" si="311"/>
        <v>2.6075000247297045E-2</v>
      </c>
      <c r="BS231" s="413"/>
      <c r="BW231" s="207">
        <f t="shared" si="313"/>
        <v>103729</v>
      </c>
      <c r="BX231" s="206">
        <v>106729</v>
      </c>
      <c r="BY231" s="206"/>
      <c r="BZ231" s="206">
        <v>107041</v>
      </c>
      <c r="CA231" s="206">
        <f t="shared" si="312"/>
        <v>5948</v>
      </c>
      <c r="CB231" s="199">
        <f t="shared" si="309"/>
        <v>5.8836912545873601E-2</v>
      </c>
      <c r="CC231" s="413">
        <v>118745</v>
      </c>
      <c r="CD231" s="413">
        <v>118995</v>
      </c>
      <c r="CE231" s="413">
        <v>-7993</v>
      </c>
      <c r="CF231" s="206">
        <v>108701</v>
      </c>
      <c r="CG231" s="206">
        <f t="shared" si="295"/>
        <v>1660</v>
      </c>
      <c r="CH231" s="304">
        <f t="shared" si="296"/>
        <v>1.5508076344578245E-2</v>
      </c>
      <c r="CI231" s="413">
        <v>115719</v>
      </c>
      <c r="CJ231" s="413"/>
      <c r="CK231" s="413">
        <f t="shared" si="297"/>
        <v>115719</v>
      </c>
      <c r="CL231" s="206">
        <f t="shared" si="298"/>
        <v>7018</v>
      </c>
      <c r="CM231" s="562">
        <f t="shared" si="299"/>
        <v>6.4562423528762389E-2</v>
      </c>
      <c r="CN231" s="413">
        <v>120054</v>
      </c>
      <c r="CO231" s="206">
        <f t="shared" si="300"/>
        <v>4335</v>
      </c>
      <c r="CP231" s="304">
        <f t="shared" si="301"/>
        <v>3.7461436756280303E-2</v>
      </c>
    </row>
    <row r="232" spans="1:94" s="317" customFormat="1" ht="18.75" customHeight="1" x14ac:dyDescent="0.25">
      <c r="A232" s="68" t="s">
        <v>330</v>
      </c>
      <c r="B232" s="310" t="s">
        <v>132</v>
      </c>
      <c r="C232" s="310" t="s">
        <v>132</v>
      </c>
      <c r="D232" s="310" t="s">
        <v>132</v>
      </c>
      <c r="E232" s="310" t="s">
        <v>132</v>
      </c>
      <c r="F232" s="416" t="s">
        <v>132</v>
      </c>
      <c r="G232" s="416" t="s">
        <v>132</v>
      </c>
      <c r="H232" s="310" t="s">
        <v>132</v>
      </c>
      <c r="I232" s="416" t="s">
        <v>132</v>
      </c>
      <c r="J232" s="416" t="s">
        <v>132</v>
      </c>
      <c r="K232" s="310" t="s">
        <v>132</v>
      </c>
      <c r="L232" s="315"/>
      <c r="M232" s="315"/>
      <c r="N232" s="395"/>
      <c r="O232" s="302"/>
      <c r="P232" s="315"/>
      <c r="Q232" s="395"/>
      <c r="R232" s="315"/>
      <c r="S232" s="315"/>
      <c r="T232" s="395"/>
      <c r="U232" s="315"/>
      <c r="V232" s="315"/>
      <c r="W232" s="395"/>
      <c r="X232" s="463"/>
      <c r="Y232" s="315"/>
      <c r="Z232" s="577"/>
      <c r="AA232" s="423"/>
      <c r="AB232" s="466"/>
      <c r="AC232" s="433"/>
      <c r="AF232" s="315"/>
      <c r="AG232" s="315"/>
      <c r="AH232" s="318"/>
      <c r="AL232" s="354"/>
      <c r="AM232" s="204">
        <f t="shared" si="288"/>
        <v>0</v>
      </c>
      <c r="AN232" s="317">
        <v>0</v>
      </c>
      <c r="AR232" s="66"/>
      <c r="AS232" s="204">
        <f t="shared" si="304"/>
        <v>782.93320000000006</v>
      </c>
      <c r="AT232" s="200">
        <f t="shared" si="305"/>
        <v>782.93320000000006</v>
      </c>
      <c r="AU232" s="199" t="e">
        <f t="shared" si="306"/>
        <v>#DIV/0!</v>
      </c>
      <c r="AV232" s="200">
        <f t="shared" si="289"/>
        <v>782.93320000000006</v>
      </c>
      <c r="AW232" s="199" t="e">
        <f t="shared" si="290"/>
        <v>#DIV/0!</v>
      </c>
      <c r="AX232" s="315"/>
      <c r="AY232" s="204">
        <f>AX232-AF232</f>
        <v>0</v>
      </c>
      <c r="AZ232" s="304" t="e">
        <f t="shared" si="315"/>
        <v>#DIV/0!</v>
      </c>
      <c r="BA232" s="560">
        <v>783</v>
      </c>
      <c r="BB232" s="560">
        <v>782.93320000000006</v>
      </c>
      <c r="BC232" s="560">
        <f t="shared" si="307"/>
        <v>6.6799999999943793E-2</v>
      </c>
      <c r="BD232" s="304">
        <f t="shared" si="308"/>
        <v>8.5312899105930765E-5</v>
      </c>
      <c r="BE232" s="315">
        <v>0</v>
      </c>
      <c r="BF232" s="204">
        <f t="shared" si="291"/>
        <v>0</v>
      </c>
      <c r="BG232" s="304" t="e">
        <f t="shared" si="292"/>
        <v>#DIV/0!</v>
      </c>
      <c r="BH232" s="200"/>
      <c r="BI232" s="200"/>
      <c r="BJ232" s="200"/>
      <c r="BK232" s="200"/>
      <c r="BL232" s="206">
        <f t="shared" si="316"/>
        <v>0</v>
      </c>
      <c r="BM232" s="206">
        <f t="shared" si="293"/>
        <v>-782.93320000000006</v>
      </c>
      <c r="BN232" s="413">
        <v>0</v>
      </c>
      <c r="BO232" s="413"/>
      <c r="BP232" s="206">
        <f t="shared" si="310"/>
        <v>0</v>
      </c>
      <c r="BQ232" s="199">
        <f t="shared" si="294"/>
        <v>-1</v>
      </c>
      <c r="BR232" s="205" t="e">
        <f t="shared" si="311"/>
        <v>#DIV/0!</v>
      </c>
      <c r="BS232" s="413"/>
      <c r="BW232" s="207">
        <f>BN213+BS232+BT232+BU232+BV232</f>
        <v>21477</v>
      </c>
      <c r="BX232" s="206"/>
      <c r="BY232" s="206"/>
      <c r="BZ232" s="206">
        <f t="shared" si="317"/>
        <v>0</v>
      </c>
      <c r="CA232" s="206">
        <f t="shared" si="312"/>
        <v>0</v>
      </c>
      <c r="CB232" s="199" t="e">
        <f t="shared" si="309"/>
        <v>#DIV/0!</v>
      </c>
      <c r="CC232" s="413">
        <v>0</v>
      </c>
      <c r="CD232" s="413"/>
      <c r="CE232" s="413"/>
      <c r="CF232" s="413">
        <f t="shared" si="318"/>
        <v>0</v>
      </c>
      <c r="CG232" s="413">
        <f t="shared" si="295"/>
        <v>0</v>
      </c>
      <c r="CH232" s="316" t="e">
        <f t="shared" si="296"/>
        <v>#DIV/0!</v>
      </c>
      <c r="CI232" s="413"/>
      <c r="CJ232" s="413"/>
      <c r="CK232" s="413">
        <f t="shared" si="297"/>
        <v>0</v>
      </c>
      <c r="CL232" s="206">
        <f t="shared" si="298"/>
        <v>0</v>
      </c>
      <c r="CM232" s="679" t="e">
        <f t="shared" si="299"/>
        <v>#DIV/0!</v>
      </c>
      <c r="CN232" s="413"/>
      <c r="CO232" s="206">
        <f t="shared" si="300"/>
        <v>0</v>
      </c>
      <c r="CP232" s="304" t="e">
        <f t="shared" si="301"/>
        <v>#DIV/0!</v>
      </c>
    </row>
    <row r="233" spans="1:94" s="317" customFormat="1" ht="18" customHeight="1" x14ac:dyDescent="0.25">
      <c r="A233" s="68" t="s">
        <v>331</v>
      </c>
      <c r="B233" s="302" t="s">
        <v>132</v>
      </c>
      <c r="C233" s="302" t="s">
        <v>132</v>
      </c>
      <c r="D233" s="302" t="s">
        <v>132</v>
      </c>
      <c r="E233" s="302" t="s">
        <v>132</v>
      </c>
      <c r="F233" s="416" t="s">
        <v>132</v>
      </c>
      <c r="G233" s="416" t="s">
        <v>132</v>
      </c>
      <c r="H233" s="416" t="s">
        <v>132</v>
      </c>
      <c r="I233" s="416" t="s">
        <v>132</v>
      </c>
      <c r="J233" s="416" t="s">
        <v>132</v>
      </c>
      <c r="K233" s="416" t="s">
        <v>132</v>
      </c>
      <c r="L233" s="416"/>
      <c r="M233" s="315"/>
      <c r="N233" s="395"/>
      <c r="O233" s="302"/>
      <c r="P233" s="315"/>
      <c r="Q233" s="395"/>
      <c r="R233" s="315"/>
      <c r="S233" s="315"/>
      <c r="T233" s="395"/>
      <c r="U233" s="315"/>
      <c r="V233" s="315"/>
      <c r="W233" s="395"/>
      <c r="X233" s="463"/>
      <c r="Y233" s="315"/>
      <c r="Z233" s="577"/>
      <c r="AA233" s="423"/>
      <c r="AB233" s="466"/>
      <c r="AC233" s="433"/>
      <c r="AF233" s="315">
        <v>0</v>
      </c>
      <c r="AG233" s="315"/>
      <c r="AH233" s="318"/>
      <c r="AL233" s="340"/>
      <c r="AM233" s="315"/>
      <c r="AS233" s="315">
        <f t="shared" si="304"/>
        <v>0</v>
      </c>
      <c r="AT233" s="318">
        <f t="shared" si="305"/>
        <v>0</v>
      </c>
      <c r="AU233" s="324" t="e">
        <f t="shared" si="306"/>
        <v>#DIV/0!</v>
      </c>
      <c r="AV233" s="318"/>
      <c r="AW233" s="324"/>
      <c r="AX233" s="315">
        <v>3000</v>
      </c>
      <c r="AY233" s="315">
        <f>AX233-AF233</f>
        <v>3000</v>
      </c>
      <c r="AZ233" s="316" t="e">
        <f t="shared" si="315"/>
        <v>#DIV/0!</v>
      </c>
      <c r="BA233" s="692">
        <v>3000</v>
      </c>
      <c r="BB233" s="692">
        <v>0</v>
      </c>
      <c r="BC233" s="692">
        <f t="shared" si="307"/>
        <v>3000</v>
      </c>
      <c r="BD233" s="316">
        <f t="shared" si="308"/>
        <v>1</v>
      </c>
      <c r="BE233" s="315">
        <v>0</v>
      </c>
      <c r="BF233" s="315">
        <f t="shared" si="291"/>
        <v>-3000</v>
      </c>
      <c r="BG233" s="316">
        <f t="shared" si="292"/>
        <v>-1</v>
      </c>
      <c r="BH233" s="318"/>
      <c r="BI233" s="318"/>
      <c r="BJ233" s="318"/>
      <c r="BK233" s="318"/>
      <c r="BL233" s="413">
        <f t="shared" si="316"/>
        <v>0</v>
      </c>
      <c r="BM233" s="413">
        <f t="shared" si="293"/>
        <v>0</v>
      </c>
      <c r="BN233" s="413">
        <v>3000</v>
      </c>
      <c r="BO233" s="413">
        <v>750</v>
      </c>
      <c r="BP233" s="413">
        <f t="shared" si="310"/>
        <v>750</v>
      </c>
      <c r="BQ233" s="324" t="e">
        <f t="shared" si="294"/>
        <v>#DIV/0!</v>
      </c>
      <c r="BR233" s="433" t="e">
        <f t="shared" si="311"/>
        <v>#DIV/0!</v>
      </c>
      <c r="BS233" s="413"/>
      <c r="BW233" s="322">
        <f t="shared" ref="BW233:BW254" si="320">BN233+BS233+BT233+BU233+BV233</f>
        <v>3000</v>
      </c>
      <c r="BX233" s="413">
        <v>750</v>
      </c>
      <c r="BY233" s="413"/>
      <c r="BZ233" s="413">
        <v>0</v>
      </c>
      <c r="CA233" s="413">
        <f t="shared" si="312"/>
        <v>0</v>
      </c>
      <c r="CB233" s="324" t="e">
        <f t="shared" si="309"/>
        <v>#DIV/0!</v>
      </c>
      <c r="CC233" s="413">
        <v>5500</v>
      </c>
      <c r="CD233" s="413">
        <v>5500</v>
      </c>
      <c r="CE233" s="413">
        <v>10343</v>
      </c>
      <c r="CF233" s="413"/>
      <c r="CG233" s="413">
        <f t="shared" si="295"/>
        <v>0</v>
      </c>
      <c r="CH233" s="316" t="e">
        <f t="shared" si="296"/>
        <v>#DIV/0!</v>
      </c>
      <c r="CI233" s="413">
        <v>0</v>
      </c>
      <c r="CJ233" s="413">
        <v>3455</v>
      </c>
      <c r="CK233" s="413">
        <f t="shared" si="297"/>
        <v>3455</v>
      </c>
      <c r="CL233" s="206">
        <f t="shared" si="298"/>
        <v>3455</v>
      </c>
      <c r="CM233" s="679" t="e">
        <f t="shared" si="299"/>
        <v>#DIV/0!</v>
      </c>
      <c r="CN233" s="413"/>
      <c r="CO233" s="206">
        <f t="shared" si="300"/>
        <v>-3455</v>
      </c>
      <c r="CP233" s="304">
        <f t="shared" si="301"/>
        <v>-1</v>
      </c>
    </row>
    <row r="234" spans="1:94" s="317" customFormat="1" ht="18" customHeight="1" thickBot="1" x14ac:dyDescent="0.3">
      <c r="A234" s="68" t="s">
        <v>332</v>
      </c>
      <c r="B234" s="302"/>
      <c r="C234" s="302"/>
      <c r="D234" s="302"/>
      <c r="E234" s="302"/>
      <c r="F234" s="416"/>
      <c r="G234" s="416"/>
      <c r="H234" s="416"/>
      <c r="I234" s="416"/>
      <c r="J234" s="416"/>
      <c r="K234" s="416"/>
      <c r="L234" s="416"/>
      <c r="M234" s="315"/>
      <c r="N234" s="395"/>
      <c r="O234" s="302"/>
      <c r="P234" s="315"/>
      <c r="Q234" s="395"/>
      <c r="R234" s="315"/>
      <c r="S234" s="315"/>
      <c r="T234" s="395"/>
      <c r="U234" s="315"/>
      <c r="V234" s="315"/>
      <c r="W234" s="395"/>
      <c r="X234" s="463"/>
      <c r="Y234" s="315"/>
      <c r="Z234" s="577"/>
      <c r="AA234" s="423"/>
      <c r="AB234" s="466"/>
      <c r="AC234" s="433"/>
      <c r="AF234" s="315"/>
      <c r="AG234" s="315"/>
      <c r="AH234" s="318"/>
      <c r="AL234" s="340"/>
      <c r="AM234" s="315"/>
      <c r="AS234" s="315"/>
      <c r="AT234" s="318"/>
      <c r="AU234" s="324"/>
      <c r="AV234" s="318"/>
      <c r="AW234" s="324"/>
      <c r="AX234" s="315"/>
      <c r="AY234" s="315"/>
      <c r="AZ234" s="316"/>
      <c r="BA234" s="692"/>
      <c r="BB234" s="692"/>
      <c r="BC234" s="692"/>
      <c r="BD234" s="316"/>
      <c r="BE234" s="315"/>
      <c r="BF234" s="315"/>
      <c r="BG234" s="316"/>
      <c r="BH234" s="318"/>
      <c r="BI234" s="318"/>
      <c r="BJ234" s="318"/>
      <c r="BK234" s="318"/>
      <c r="BL234" s="413"/>
      <c r="BM234" s="413"/>
      <c r="BN234" s="413"/>
      <c r="BO234" s="413"/>
      <c r="BP234" s="413"/>
      <c r="BQ234" s="324"/>
      <c r="BR234" s="433"/>
      <c r="BS234" s="413"/>
      <c r="BW234" s="322"/>
      <c r="BX234" s="413"/>
      <c r="BY234" s="413"/>
      <c r="BZ234" s="413">
        <v>8899</v>
      </c>
      <c r="CA234" s="413"/>
      <c r="CB234" s="324"/>
      <c r="CC234" s="413"/>
      <c r="CD234" s="413"/>
      <c r="CE234" s="413"/>
      <c r="CF234" s="413"/>
      <c r="CG234" s="413"/>
      <c r="CH234" s="316"/>
      <c r="CK234" s="413">
        <f t="shared" si="297"/>
        <v>0</v>
      </c>
      <c r="CL234" s="206">
        <f t="shared" si="298"/>
        <v>0</v>
      </c>
      <c r="CM234" s="679"/>
      <c r="CO234" s="206">
        <f t="shared" si="300"/>
        <v>0</v>
      </c>
      <c r="CP234" s="304" t="e">
        <f t="shared" si="301"/>
        <v>#DIV/0!</v>
      </c>
    </row>
    <row r="235" spans="1:94" s="653" customFormat="1" ht="18" customHeight="1" x14ac:dyDescent="0.25">
      <c r="A235" s="653" t="s">
        <v>333</v>
      </c>
      <c r="B235" s="623">
        <f t="shared" ref="B235:I235" si="321">SUM(B210:B232)</f>
        <v>394753</v>
      </c>
      <c r="C235" s="623">
        <f t="shared" si="321"/>
        <v>272071</v>
      </c>
      <c r="D235" s="654">
        <f t="shared" si="273"/>
        <v>-122682</v>
      </c>
      <c r="E235" s="654">
        <f>(C235-B235)/B235</f>
        <v>-0.3107816786699531</v>
      </c>
      <c r="F235" s="623">
        <f t="shared" si="321"/>
        <v>278480</v>
      </c>
      <c r="G235" s="600">
        <f t="shared" si="274"/>
        <v>6409</v>
      </c>
      <c r="H235" s="600">
        <f>(F235-C235)/C235</f>
        <v>2.3556351099529166E-2</v>
      </c>
      <c r="I235" s="623">
        <f t="shared" si="321"/>
        <v>294072</v>
      </c>
      <c r="J235" s="600">
        <f t="shared" si="275"/>
        <v>15592</v>
      </c>
      <c r="K235" s="600">
        <f>(I235-F235)/F235</f>
        <v>5.5989658144211432E-2</v>
      </c>
      <c r="L235" s="623">
        <f>SUM(L210:L232)</f>
        <v>399023</v>
      </c>
      <c r="M235" s="623">
        <f>SUM(M210:M232)</f>
        <v>115575</v>
      </c>
      <c r="N235" s="654" t="s">
        <v>132</v>
      </c>
      <c r="O235" s="623">
        <f>SUM(O210:O232)</f>
        <v>428753</v>
      </c>
      <c r="P235" s="623">
        <f t="shared" si="302"/>
        <v>29730</v>
      </c>
      <c r="Q235" s="623">
        <f>P235/L235</f>
        <v>7.4506983306726685E-2</v>
      </c>
      <c r="R235" s="623">
        <f>SUM(R210:R232)</f>
        <v>858298</v>
      </c>
      <c r="S235" s="623">
        <f t="shared" si="319"/>
        <v>429545</v>
      </c>
      <c r="T235" s="623">
        <f>S235/O235</f>
        <v>1.0018472173955635</v>
      </c>
      <c r="U235" s="654">
        <f>SUM(U210:U232)</f>
        <v>605800</v>
      </c>
      <c r="V235" s="623">
        <f t="shared" si="303"/>
        <v>-252498</v>
      </c>
      <c r="W235" s="623">
        <f>V235/R235</f>
        <v>-0.29418453730522498</v>
      </c>
      <c r="X235" s="654">
        <f>SUM(X210:X232)</f>
        <v>835883</v>
      </c>
      <c r="Y235" s="623">
        <f>X235-U235</f>
        <v>230083</v>
      </c>
      <c r="Z235" s="655">
        <f>Y235/U235</f>
        <v>0.37980026411356882</v>
      </c>
      <c r="AA235" s="656">
        <f>SUM(AA210:AA232)</f>
        <v>967827</v>
      </c>
      <c r="AB235" s="657">
        <f>AA235-X235</f>
        <v>131944</v>
      </c>
      <c r="AC235" s="623">
        <f>AB235/X235</f>
        <v>0.15784984262151522</v>
      </c>
      <c r="AD235" s="623">
        <f>SUM(AD210:AD232)</f>
        <v>694255</v>
      </c>
      <c r="AE235" s="654">
        <f>SUM(AE210:AE232)</f>
        <v>216999</v>
      </c>
      <c r="AF235" s="654">
        <f>SUM(AF210:AF233)</f>
        <v>764487</v>
      </c>
      <c r="AG235" s="600">
        <f>AF235-AA235</f>
        <v>-203340</v>
      </c>
      <c r="AH235" s="600">
        <f>AG235/AA235</f>
        <v>-0.21009953225111513</v>
      </c>
      <c r="AI235" s="623"/>
      <c r="AJ235" s="654"/>
      <c r="AK235" s="654">
        <f>SUM(AK210:AK232)</f>
        <v>703920</v>
      </c>
      <c r="AL235" s="654">
        <f>SUM(AL210:AL232)</f>
        <v>3467</v>
      </c>
      <c r="AM235" s="600">
        <f t="shared" si="288"/>
        <v>707387</v>
      </c>
      <c r="AN235" s="654">
        <f>SUM(AN210:AN232)</f>
        <v>643142</v>
      </c>
      <c r="AO235" s="654">
        <f>SUM(AO210:AO232)</f>
        <v>905453</v>
      </c>
      <c r="AP235" s="623"/>
      <c r="AQ235" s="623"/>
      <c r="AR235" s="654"/>
      <c r="AS235" s="600">
        <f t="shared" si="304"/>
        <v>861536.56293000001</v>
      </c>
      <c r="AT235" s="600">
        <f>AS235-AF235</f>
        <v>97049.562930000015</v>
      </c>
      <c r="AU235" s="600">
        <f>AT235/AF235</f>
        <v>0.12694730313268901</v>
      </c>
      <c r="AV235" s="600">
        <f t="shared" si="289"/>
        <v>97049.562930000015</v>
      </c>
      <c r="AW235" s="600">
        <f t="shared" si="290"/>
        <v>0.12694730313268901</v>
      </c>
      <c r="AX235" s="623">
        <f>SUM(AX210:AX233)</f>
        <v>938024</v>
      </c>
      <c r="AY235" s="600">
        <f t="shared" si="314"/>
        <v>173537</v>
      </c>
      <c r="AZ235" s="600">
        <f t="shared" si="315"/>
        <v>0.22699797380465594</v>
      </c>
      <c r="BA235" s="600"/>
      <c r="BB235" s="600">
        <f>SUM(BB210:BB233)</f>
        <v>861536.56293000001</v>
      </c>
      <c r="BC235" s="600"/>
      <c r="BD235" s="600"/>
      <c r="BE235" s="623">
        <f>SUM(BE210:BE233)</f>
        <v>986089</v>
      </c>
      <c r="BF235" s="600">
        <f t="shared" si="291"/>
        <v>48065</v>
      </c>
      <c r="BG235" s="600">
        <f t="shared" si="292"/>
        <v>5.1240693201879697E-2</v>
      </c>
      <c r="BH235" s="600">
        <f>SUM(BH210:BH233)</f>
        <v>0</v>
      </c>
      <c r="BI235" s="600"/>
      <c r="BJ235" s="600"/>
      <c r="BK235" s="600"/>
      <c r="BL235" s="600">
        <f t="shared" si="316"/>
        <v>986089</v>
      </c>
      <c r="BM235" s="600">
        <f t="shared" si="293"/>
        <v>124552.43706999999</v>
      </c>
      <c r="BN235" s="600">
        <f>SUM(BN210:BN233)</f>
        <v>1033696</v>
      </c>
      <c r="BO235" s="600">
        <f>SUM(BO210:BO233)</f>
        <v>1040106</v>
      </c>
      <c r="BP235" s="600">
        <f t="shared" si="310"/>
        <v>54017</v>
      </c>
      <c r="BQ235" s="600">
        <f t="shared" si="294"/>
        <v>0.14457011162290032</v>
      </c>
      <c r="BR235" s="600">
        <f t="shared" si="311"/>
        <v>5.4779031101655128E-2</v>
      </c>
      <c r="BS235" s="623"/>
      <c r="BT235" s="623"/>
      <c r="BU235" s="623"/>
      <c r="BV235" s="623"/>
      <c r="BW235" s="600">
        <f t="shared" si="320"/>
        <v>1033696</v>
      </c>
      <c r="BX235" s="600">
        <f>SUM(BX210:BX233)</f>
        <v>924625</v>
      </c>
      <c r="BY235" s="600"/>
      <c r="BZ235" s="600">
        <f>SUM(BZ210:BZ234)</f>
        <v>929030</v>
      </c>
      <c r="CA235" s="600">
        <f t="shared" si="312"/>
        <v>-57059</v>
      </c>
      <c r="CB235" s="658">
        <f t="shared" si="309"/>
        <v>-5.7863945343675872E-2</v>
      </c>
      <c r="CC235" s="600">
        <f>SUM(CC210:CC233)</f>
        <v>1022408</v>
      </c>
      <c r="CD235" s="600">
        <f>SUM(CD210:CD233)</f>
        <v>1033719</v>
      </c>
      <c r="CE235" s="600">
        <f>SUM(CE210:CE233)</f>
        <v>-15541</v>
      </c>
      <c r="CF235" s="600">
        <f>SUM(CF210:CF233)</f>
        <v>926186</v>
      </c>
      <c r="CG235" s="600">
        <f t="shared" si="295"/>
        <v>-2844</v>
      </c>
      <c r="CH235" s="601">
        <f t="shared" si="296"/>
        <v>-3.0612574405562793E-3</v>
      </c>
      <c r="CI235" s="659">
        <f>SUM(CI210:CI233)</f>
        <v>1062870</v>
      </c>
      <c r="CJ235" s="659"/>
      <c r="CK235" s="659">
        <f>SUM(CK210:CK233)</f>
        <v>1026932</v>
      </c>
      <c r="CL235" s="368">
        <f t="shared" si="298"/>
        <v>100746</v>
      </c>
      <c r="CM235" s="602">
        <f>CL235/CF235</f>
        <v>0.1087751272422602</v>
      </c>
      <c r="CN235" s="623">
        <f>SUM(CN210:CN233)</f>
        <v>1055115</v>
      </c>
      <c r="CO235" s="368">
        <f t="shared" si="300"/>
        <v>28183</v>
      </c>
      <c r="CP235" s="304">
        <f>CO235/CK235</f>
        <v>2.7443881386498815E-2</v>
      </c>
    </row>
    <row r="236" spans="1:94" s="317" customFormat="1" ht="18" customHeight="1" x14ac:dyDescent="0.25">
      <c r="A236" s="363"/>
      <c r="D236" s="416"/>
      <c r="E236" s="563"/>
      <c r="G236" s="204"/>
      <c r="H236" s="199"/>
      <c r="J236" s="204"/>
      <c r="K236" s="199"/>
      <c r="L236" s="338"/>
      <c r="M236" s="204"/>
      <c r="N236" s="660"/>
      <c r="O236" s="336"/>
      <c r="P236" s="338"/>
      <c r="Q236" s="356"/>
      <c r="R236" s="336"/>
      <c r="S236" s="358"/>
      <c r="T236" s="356"/>
      <c r="U236" s="336"/>
      <c r="V236" s="338"/>
      <c r="W236" s="342"/>
      <c r="X236" s="336"/>
      <c r="Y236" s="358"/>
      <c r="Z236" s="605"/>
      <c r="AA236" s="661"/>
      <c r="AB236" s="366"/>
      <c r="AC236" s="367"/>
      <c r="AF236" s="315"/>
      <c r="AG236" s="315"/>
      <c r="AM236" s="204"/>
      <c r="AX236" s="315"/>
      <c r="AY236" s="204"/>
      <c r="AZ236" s="304"/>
      <c r="BA236" s="304"/>
      <c r="BB236" s="304"/>
      <c r="BC236" s="304"/>
      <c r="BD236" s="304"/>
      <c r="BE236" s="315"/>
      <c r="BF236" s="204"/>
      <c r="BG236" s="304"/>
      <c r="BH236" s="200"/>
      <c r="BI236" s="200"/>
      <c r="BJ236" s="200"/>
      <c r="BK236" s="200"/>
      <c r="BL236" s="206"/>
      <c r="BM236" s="206"/>
      <c r="BN236" s="206"/>
      <c r="BO236" s="206"/>
      <c r="BP236" s="206">
        <f t="shared" si="310"/>
        <v>0</v>
      </c>
      <c r="BQ236" s="199"/>
      <c r="BR236" s="205" t="e">
        <f t="shared" si="311"/>
        <v>#DIV/0!</v>
      </c>
      <c r="BS236" s="413"/>
      <c r="BW236" s="207">
        <f t="shared" si="320"/>
        <v>0</v>
      </c>
      <c r="BX236" s="206"/>
      <c r="BY236" s="206"/>
      <c r="BZ236" s="206"/>
      <c r="CA236" s="206"/>
      <c r="CB236" s="199"/>
      <c r="CC236" s="413"/>
      <c r="CD236" s="413"/>
      <c r="CE236" s="413"/>
      <c r="CF236" s="413"/>
      <c r="CG236" s="206"/>
      <c r="CH236" s="304"/>
      <c r="CL236" s="206"/>
      <c r="CM236" s="316"/>
      <c r="CO236" s="206">
        <f t="shared" si="300"/>
        <v>0</v>
      </c>
      <c r="CP236" s="206" t="e">
        <f t="shared" si="301"/>
        <v>#DIV/0!</v>
      </c>
    </row>
    <row r="237" spans="1:94" s="317" customFormat="1" ht="18" customHeight="1" x14ac:dyDescent="0.25">
      <c r="A237" s="373" t="s">
        <v>334</v>
      </c>
      <c r="D237" s="416"/>
      <c r="E237" s="563"/>
      <c r="G237" s="204"/>
      <c r="H237" s="199"/>
      <c r="J237" s="204"/>
      <c r="K237" s="199"/>
      <c r="L237" s="338"/>
      <c r="M237" s="204"/>
      <c r="N237" s="660"/>
      <c r="O237" s="336"/>
      <c r="P237" s="338"/>
      <c r="Q237" s="356"/>
      <c r="R237" s="336"/>
      <c r="S237" s="358"/>
      <c r="T237" s="356"/>
      <c r="U237" s="336"/>
      <c r="V237" s="338"/>
      <c r="W237" s="342"/>
      <c r="X237" s="336"/>
      <c r="Y237" s="358"/>
      <c r="Z237" s="605"/>
      <c r="AA237" s="661"/>
      <c r="AB237" s="366"/>
      <c r="AC237" s="367"/>
      <c r="AF237" s="315"/>
      <c r="AG237" s="315"/>
      <c r="AX237" s="315"/>
      <c r="AY237" s="204"/>
      <c r="AZ237" s="304"/>
      <c r="BA237" s="304"/>
      <c r="BB237" s="304"/>
      <c r="BC237" s="304"/>
      <c r="BD237" s="304"/>
      <c r="BE237" s="315"/>
      <c r="BF237" s="204"/>
      <c r="BG237" s="304"/>
      <c r="BH237" s="200"/>
      <c r="BI237" s="200"/>
      <c r="BJ237" s="200"/>
      <c r="BK237" s="200"/>
      <c r="BL237" s="206"/>
      <c r="BM237" s="206"/>
      <c r="BN237" s="206"/>
      <c r="BO237" s="206"/>
      <c r="BP237" s="206">
        <f t="shared" si="310"/>
        <v>0</v>
      </c>
      <c r="BQ237" s="199"/>
      <c r="BR237" s="205" t="e">
        <f t="shared" si="311"/>
        <v>#DIV/0!</v>
      </c>
      <c r="BS237" s="413"/>
      <c r="BW237" s="207">
        <f t="shared" si="320"/>
        <v>0</v>
      </c>
      <c r="BX237" s="206"/>
      <c r="BY237" s="206"/>
      <c r="BZ237" s="206"/>
      <c r="CA237" s="206"/>
      <c r="CB237" s="199"/>
      <c r="CC237" s="413"/>
      <c r="CD237" s="413"/>
      <c r="CE237" s="413"/>
      <c r="CF237" s="413"/>
      <c r="CG237" s="206"/>
      <c r="CH237" s="304"/>
      <c r="CL237" s="206"/>
      <c r="CM237" s="316"/>
      <c r="CO237" s="206">
        <f t="shared" si="300"/>
        <v>0</v>
      </c>
      <c r="CP237" s="206" t="e">
        <f t="shared" si="301"/>
        <v>#DIV/0!</v>
      </c>
    </row>
    <row r="238" spans="1:94" s="317" customFormat="1" ht="18" customHeight="1" x14ac:dyDescent="0.25">
      <c r="A238" s="317" t="s">
        <v>335</v>
      </c>
      <c r="D238" s="416"/>
      <c r="E238" s="563"/>
      <c r="G238" s="204"/>
      <c r="H238" s="199"/>
      <c r="J238" s="204"/>
      <c r="K238" s="199"/>
      <c r="L238" s="338"/>
      <c r="M238" s="204"/>
      <c r="N238" s="660"/>
      <c r="O238" s="336"/>
      <c r="P238" s="338"/>
      <c r="Q238" s="356"/>
      <c r="R238" s="336"/>
      <c r="S238" s="358"/>
      <c r="T238" s="356"/>
      <c r="U238" s="336"/>
      <c r="V238" s="338"/>
      <c r="W238" s="342"/>
      <c r="X238" s="403"/>
      <c r="Y238" s="404"/>
      <c r="Z238" s="605"/>
      <c r="AA238" s="203"/>
      <c r="AB238" s="374"/>
      <c r="AC238" s="433"/>
      <c r="AF238" s="315"/>
      <c r="AG238" s="315"/>
      <c r="AX238" s="315"/>
      <c r="AY238" s="204"/>
      <c r="AZ238" s="304"/>
      <c r="BA238" s="304"/>
      <c r="BB238" s="304"/>
      <c r="BC238" s="304"/>
      <c r="BD238" s="304"/>
      <c r="BE238" s="315"/>
      <c r="BF238" s="204"/>
      <c r="BG238" s="304"/>
      <c r="BH238" s="200"/>
      <c r="BI238" s="200"/>
      <c r="BJ238" s="200"/>
      <c r="BK238" s="200"/>
      <c r="BL238" s="206"/>
      <c r="BM238" s="206"/>
      <c r="BN238" s="206"/>
      <c r="BO238" s="206"/>
      <c r="BP238" s="206">
        <f t="shared" si="310"/>
        <v>0</v>
      </c>
      <c r="BQ238" s="199"/>
      <c r="BR238" s="205" t="e">
        <f t="shared" si="311"/>
        <v>#DIV/0!</v>
      </c>
      <c r="BS238" s="413"/>
      <c r="BW238" s="207">
        <f t="shared" si="320"/>
        <v>0</v>
      </c>
      <c r="BX238" s="206"/>
      <c r="BY238" s="206"/>
      <c r="BZ238" s="206"/>
      <c r="CA238" s="206"/>
      <c r="CB238" s="199"/>
      <c r="CC238" s="413"/>
      <c r="CD238" s="413"/>
      <c r="CE238" s="413"/>
      <c r="CF238" s="413"/>
      <c r="CG238" s="206"/>
      <c r="CH238" s="304"/>
      <c r="CL238" s="206"/>
      <c r="CM238" s="316"/>
      <c r="CO238" s="206">
        <f t="shared" si="300"/>
        <v>0</v>
      </c>
      <c r="CP238" s="206" t="e">
        <f t="shared" si="301"/>
        <v>#DIV/0!</v>
      </c>
    </row>
    <row r="239" spans="1:94" s="211" customFormat="1" ht="18" customHeight="1" thickBot="1" x14ac:dyDescent="0.3">
      <c r="A239" s="211" t="s">
        <v>336</v>
      </c>
      <c r="D239" s="650"/>
      <c r="E239" s="563"/>
      <c r="G239" s="204"/>
      <c r="H239" s="199"/>
      <c r="J239" s="204"/>
      <c r="K239" s="199"/>
      <c r="L239" s="444"/>
      <c r="M239" s="327"/>
      <c r="N239" s="662"/>
      <c r="O239" s="663"/>
      <c r="P239" s="444"/>
      <c r="Q239" s="445"/>
      <c r="R239" s="663"/>
      <c r="S239" s="444"/>
      <c r="T239" s="445"/>
      <c r="U239" s="663"/>
      <c r="V239" s="444"/>
      <c r="W239" s="445"/>
      <c r="X239" s="448"/>
      <c r="Y239" s="449"/>
      <c r="Z239" s="664"/>
      <c r="AA239" s="428"/>
      <c r="AB239" s="450"/>
      <c r="AC239" s="334"/>
      <c r="AF239" s="327"/>
      <c r="AG239" s="327"/>
      <c r="AX239" s="327"/>
      <c r="AY239" s="327"/>
      <c r="AZ239" s="328"/>
      <c r="BA239" s="328"/>
      <c r="BB239" s="328"/>
      <c r="BC239" s="328"/>
      <c r="BD239" s="328"/>
      <c r="BE239" s="327"/>
      <c r="BF239" s="327"/>
      <c r="BG239" s="328"/>
      <c r="BH239" s="331"/>
      <c r="BI239" s="331"/>
      <c r="BJ239" s="331"/>
      <c r="BK239" s="331"/>
      <c r="BL239" s="333"/>
      <c r="BM239" s="333"/>
      <c r="BN239" s="333"/>
      <c r="BO239" s="413"/>
      <c r="BP239" s="206">
        <f t="shared" si="310"/>
        <v>0</v>
      </c>
      <c r="BQ239" s="212"/>
      <c r="BR239" s="205" t="e">
        <f t="shared" si="311"/>
        <v>#DIV/0!</v>
      </c>
      <c r="BS239" s="333"/>
      <c r="BW239" s="207">
        <f t="shared" si="320"/>
        <v>0</v>
      </c>
      <c r="BX239" s="206"/>
      <c r="BY239" s="206"/>
      <c r="BZ239" s="206"/>
      <c r="CA239" s="206"/>
      <c r="CB239" s="199"/>
      <c r="CC239" s="333"/>
      <c r="CD239" s="413"/>
      <c r="CE239" s="413"/>
      <c r="CF239" s="413"/>
      <c r="CG239" s="206"/>
      <c r="CH239" s="328"/>
      <c r="CL239" s="206"/>
      <c r="CM239" s="328"/>
      <c r="CO239" s="206">
        <f t="shared" si="300"/>
        <v>0</v>
      </c>
      <c r="CP239" s="206" t="e">
        <f t="shared" si="301"/>
        <v>#DIV/0!</v>
      </c>
    </row>
    <row r="240" spans="1:94" s="317" customFormat="1" ht="18" customHeight="1" x14ac:dyDescent="0.25">
      <c r="D240" s="416">
        <f t="shared" si="273"/>
        <v>0</v>
      </c>
      <c r="E240" s="563" t="e">
        <f t="shared" ref="E240:E255" si="322">(C240-B240)/B240</f>
        <v>#DIV/0!</v>
      </c>
      <c r="G240" s="204">
        <f t="shared" si="274"/>
        <v>0</v>
      </c>
      <c r="H240" s="199" t="e">
        <f t="shared" ref="H240:H255" si="323">(F240-C240)/C240</f>
        <v>#DIV/0!</v>
      </c>
      <c r="J240" s="204">
        <f t="shared" si="275"/>
        <v>0</v>
      </c>
      <c r="K240" s="199" t="e">
        <f t="shared" ref="K240:K255" si="324">(I240-F240)/F240</f>
        <v>#DIV/0!</v>
      </c>
      <c r="M240" s="204"/>
      <c r="N240" s="394"/>
      <c r="O240" s="302"/>
      <c r="P240" s="315"/>
      <c r="Q240" s="394"/>
      <c r="R240" s="204"/>
      <c r="S240" s="204"/>
      <c r="T240" s="394"/>
      <c r="U240" s="204"/>
      <c r="V240" s="315"/>
      <c r="W240" s="394"/>
      <c r="X240" s="201"/>
      <c r="Y240" s="202"/>
      <c r="Z240" s="484"/>
      <c r="AA240" s="203"/>
      <c r="AB240" s="374">
        <f t="shared" ref="AB240:AB254" si="325">AA237-X240</f>
        <v>0</v>
      </c>
      <c r="AC240" s="433"/>
      <c r="AF240" s="315"/>
      <c r="AG240" s="315"/>
      <c r="AX240" s="315"/>
      <c r="AY240" s="204">
        <f t="shared" si="314"/>
        <v>0</v>
      </c>
      <c r="AZ240" s="304" t="e">
        <f t="shared" si="315"/>
        <v>#DIV/0!</v>
      </c>
      <c r="BA240" s="304"/>
      <c r="BB240" s="304"/>
      <c r="BC240" s="304"/>
      <c r="BD240" s="304"/>
      <c r="BE240" s="315"/>
      <c r="BF240" s="204">
        <f t="shared" ref="BF240:BF255" si="326">BE240-AX240</f>
        <v>0</v>
      </c>
      <c r="BG240" s="304" t="e">
        <f t="shared" ref="BG240:BG255" si="327">BF240/AX240</f>
        <v>#DIV/0!</v>
      </c>
      <c r="BH240" s="200"/>
      <c r="BI240" s="200"/>
      <c r="BJ240" s="200"/>
      <c r="BK240" s="200"/>
      <c r="BL240" s="206">
        <f t="shared" si="316"/>
        <v>0</v>
      </c>
      <c r="BM240" s="206">
        <f t="shared" ref="BM240:BM255" si="328">BL240-AS240</f>
        <v>0</v>
      </c>
      <c r="BN240" s="206"/>
      <c r="BO240" s="206"/>
      <c r="BP240" s="206">
        <f t="shared" si="310"/>
        <v>0</v>
      </c>
      <c r="BQ240" s="199" t="e">
        <f t="shared" ref="BQ240:BQ255" si="329">BM240/AS240</f>
        <v>#DIV/0!</v>
      </c>
      <c r="BR240" s="205" t="e">
        <f t="shared" si="311"/>
        <v>#DIV/0!</v>
      </c>
      <c r="BS240" s="413"/>
      <c r="BW240" s="207">
        <f t="shared" si="320"/>
        <v>0</v>
      </c>
      <c r="BX240" s="206"/>
      <c r="BY240" s="206"/>
      <c r="BZ240" s="206"/>
      <c r="CA240" s="206">
        <f t="shared" si="312"/>
        <v>0</v>
      </c>
      <c r="CB240" s="199" t="e">
        <f t="shared" ref="CB240:CB255" si="330">CA240/BL240</f>
        <v>#DIV/0!</v>
      </c>
      <c r="CC240" s="413"/>
      <c r="CD240" s="413"/>
      <c r="CE240" s="413"/>
      <c r="CF240" s="413"/>
      <c r="CG240" s="206">
        <f t="shared" ref="CG240:CG254" si="331">CD240-BZ240</f>
        <v>0</v>
      </c>
      <c r="CH240" s="304" t="e">
        <f t="shared" si="296"/>
        <v>#DIV/0!</v>
      </c>
      <c r="CL240" s="206">
        <f t="shared" si="298"/>
        <v>0</v>
      </c>
      <c r="CM240" s="316"/>
      <c r="CO240" s="206">
        <f t="shared" si="300"/>
        <v>0</v>
      </c>
      <c r="CP240" s="206" t="e">
        <f t="shared" si="301"/>
        <v>#DIV/0!</v>
      </c>
    </row>
    <row r="241" spans="1:94" s="317" customFormat="1" ht="18" customHeight="1" x14ac:dyDescent="0.25">
      <c r="A241" s="68"/>
      <c r="D241" s="416">
        <f t="shared" si="273"/>
        <v>0</v>
      </c>
      <c r="E241" s="563" t="e">
        <f t="shared" si="322"/>
        <v>#DIV/0!</v>
      </c>
      <c r="G241" s="204">
        <f t="shared" si="274"/>
        <v>0</v>
      </c>
      <c r="H241" s="199" t="e">
        <f t="shared" si="323"/>
        <v>#DIV/0!</v>
      </c>
      <c r="J241" s="204">
        <f t="shared" si="275"/>
        <v>0</v>
      </c>
      <c r="K241" s="199" t="e">
        <f t="shared" si="324"/>
        <v>#DIV/0!</v>
      </c>
      <c r="M241" s="204"/>
      <c r="N241" s="394"/>
      <c r="O241" s="302"/>
      <c r="P241" s="315"/>
      <c r="Q241" s="394"/>
      <c r="R241" s="204"/>
      <c r="S241" s="204"/>
      <c r="T241" s="394"/>
      <c r="U241" s="204"/>
      <c r="V241" s="315"/>
      <c r="W241" s="394"/>
      <c r="X241" s="201"/>
      <c r="Y241" s="202"/>
      <c r="Z241" s="484"/>
      <c r="AA241" s="203">
        <v>363234</v>
      </c>
      <c r="AB241" s="374">
        <f t="shared" si="325"/>
        <v>0</v>
      </c>
      <c r="AC241" s="433"/>
      <c r="AF241" s="315"/>
      <c r="AG241" s="315"/>
      <c r="AX241" s="315"/>
      <c r="AY241" s="204">
        <f t="shared" si="314"/>
        <v>0</v>
      </c>
      <c r="AZ241" s="304" t="e">
        <f t="shared" si="315"/>
        <v>#DIV/0!</v>
      </c>
      <c r="BA241" s="304"/>
      <c r="BB241" s="304"/>
      <c r="BC241" s="304"/>
      <c r="BD241" s="304"/>
      <c r="BE241" s="315"/>
      <c r="BF241" s="204">
        <f t="shared" si="326"/>
        <v>0</v>
      </c>
      <c r="BG241" s="304" t="e">
        <f t="shared" si="327"/>
        <v>#DIV/0!</v>
      </c>
      <c r="BH241" s="200"/>
      <c r="BI241" s="200"/>
      <c r="BJ241" s="200"/>
      <c r="BK241" s="200"/>
      <c r="BL241" s="206">
        <f t="shared" si="316"/>
        <v>0</v>
      </c>
      <c r="BM241" s="206">
        <f t="shared" si="328"/>
        <v>0</v>
      </c>
      <c r="BN241" s="206"/>
      <c r="BO241" s="206"/>
      <c r="BP241" s="206">
        <f t="shared" si="310"/>
        <v>0</v>
      </c>
      <c r="BQ241" s="199" t="e">
        <f t="shared" si="329"/>
        <v>#DIV/0!</v>
      </c>
      <c r="BR241" s="205" t="e">
        <f t="shared" si="311"/>
        <v>#DIV/0!</v>
      </c>
      <c r="BS241" s="413"/>
      <c r="BW241" s="207">
        <f t="shared" si="320"/>
        <v>0</v>
      </c>
      <c r="BX241" s="206"/>
      <c r="BY241" s="206"/>
      <c r="BZ241" s="206"/>
      <c r="CA241" s="206">
        <f t="shared" si="312"/>
        <v>0</v>
      </c>
      <c r="CB241" s="199" t="e">
        <f t="shared" si="330"/>
        <v>#DIV/0!</v>
      </c>
      <c r="CC241" s="413"/>
      <c r="CD241" s="413"/>
      <c r="CE241" s="413"/>
      <c r="CF241" s="413"/>
      <c r="CG241" s="206">
        <f t="shared" si="331"/>
        <v>0</v>
      </c>
      <c r="CH241" s="304" t="e">
        <f t="shared" si="296"/>
        <v>#DIV/0!</v>
      </c>
      <c r="CL241" s="206">
        <f t="shared" si="298"/>
        <v>0</v>
      </c>
      <c r="CM241" s="316"/>
      <c r="CO241" s="206">
        <f t="shared" si="300"/>
        <v>0</v>
      </c>
      <c r="CP241" s="206" t="e">
        <f t="shared" si="301"/>
        <v>#DIV/0!</v>
      </c>
    </row>
    <row r="242" spans="1:94" s="317" customFormat="1" ht="18" customHeight="1" x14ac:dyDescent="0.25">
      <c r="A242" s="68"/>
      <c r="D242" s="416">
        <f t="shared" si="273"/>
        <v>0</v>
      </c>
      <c r="E242" s="563" t="e">
        <f t="shared" si="322"/>
        <v>#DIV/0!</v>
      </c>
      <c r="G242" s="204">
        <f t="shared" si="274"/>
        <v>0</v>
      </c>
      <c r="H242" s="199" t="e">
        <f t="shared" si="323"/>
        <v>#DIV/0!</v>
      </c>
      <c r="J242" s="204">
        <f t="shared" si="275"/>
        <v>0</v>
      </c>
      <c r="K242" s="199" t="e">
        <f t="shared" si="324"/>
        <v>#DIV/0!</v>
      </c>
      <c r="M242" s="204"/>
      <c r="N242" s="394"/>
      <c r="O242" s="302"/>
      <c r="P242" s="315"/>
      <c r="Q242" s="394"/>
      <c r="R242" s="204"/>
      <c r="S242" s="204"/>
      <c r="T242" s="394"/>
      <c r="U242" s="204"/>
      <c r="V242" s="315"/>
      <c r="W242" s="394"/>
      <c r="X242" s="201"/>
      <c r="Y242" s="202"/>
      <c r="Z242" s="484"/>
      <c r="AA242" s="203">
        <v>56491</v>
      </c>
      <c r="AB242" s="374">
        <f t="shared" si="325"/>
        <v>0</v>
      </c>
      <c r="AC242" s="433"/>
      <c r="AF242" s="315"/>
      <c r="AG242" s="315"/>
      <c r="AX242" s="315"/>
      <c r="AY242" s="204">
        <f t="shared" si="314"/>
        <v>0</v>
      </c>
      <c r="AZ242" s="304" t="e">
        <f t="shared" si="315"/>
        <v>#DIV/0!</v>
      </c>
      <c r="BA242" s="304"/>
      <c r="BB242" s="304"/>
      <c r="BC242" s="304"/>
      <c r="BD242" s="304"/>
      <c r="BE242" s="315"/>
      <c r="BF242" s="204">
        <f t="shared" si="326"/>
        <v>0</v>
      </c>
      <c r="BG242" s="304" t="e">
        <f t="shared" si="327"/>
        <v>#DIV/0!</v>
      </c>
      <c r="BH242" s="200"/>
      <c r="BI242" s="200"/>
      <c r="BJ242" s="200"/>
      <c r="BK242" s="200"/>
      <c r="BL242" s="206">
        <f t="shared" si="316"/>
        <v>0</v>
      </c>
      <c r="BM242" s="206">
        <f t="shared" si="328"/>
        <v>0</v>
      </c>
      <c r="BN242" s="206"/>
      <c r="BO242" s="206"/>
      <c r="BP242" s="206">
        <f t="shared" si="310"/>
        <v>0</v>
      </c>
      <c r="BQ242" s="199" t="e">
        <f t="shared" si="329"/>
        <v>#DIV/0!</v>
      </c>
      <c r="BR242" s="205" t="e">
        <f t="shared" si="311"/>
        <v>#DIV/0!</v>
      </c>
      <c r="BS242" s="413"/>
      <c r="BW242" s="207">
        <f t="shared" si="320"/>
        <v>0</v>
      </c>
      <c r="BX242" s="206"/>
      <c r="BY242" s="206"/>
      <c r="BZ242" s="206"/>
      <c r="CA242" s="206">
        <f t="shared" si="312"/>
        <v>0</v>
      </c>
      <c r="CB242" s="199" t="e">
        <f t="shared" si="330"/>
        <v>#DIV/0!</v>
      </c>
      <c r="CC242" s="413"/>
      <c r="CD242" s="413"/>
      <c r="CE242" s="413"/>
      <c r="CF242" s="413"/>
      <c r="CG242" s="206">
        <f t="shared" si="331"/>
        <v>0</v>
      </c>
      <c r="CH242" s="304" t="e">
        <f t="shared" si="296"/>
        <v>#DIV/0!</v>
      </c>
      <c r="CL242" s="206">
        <f t="shared" si="298"/>
        <v>0</v>
      </c>
      <c r="CM242" s="316"/>
      <c r="CO242" s="206">
        <f t="shared" si="300"/>
        <v>0</v>
      </c>
      <c r="CP242" s="206" t="e">
        <f t="shared" si="301"/>
        <v>#DIV/0!</v>
      </c>
    </row>
    <row r="243" spans="1:94" s="317" customFormat="1" ht="18" customHeight="1" x14ac:dyDescent="0.25">
      <c r="A243" s="68"/>
      <c r="D243" s="416">
        <f t="shared" si="273"/>
        <v>0</v>
      </c>
      <c r="E243" s="563" t="e">
        <f t="shared" si="322"/>
        <v>#DIV/0!</v>
      </c>
      <c r="G243" s="204">
        <f t="shared" si="274"/>
        <v>0</v>
      </c>
      <c r="H243" s="199" t="e">
        <f t="shared" si="323"/>
        <v>#DIV/0!</v>
      </c>
      <c r="J243" s="204">
        <f t="shared" si="275"/>
        <v>0</v>
      </c>
      <c r="K243" s="199" t="e">
        <f t="shared" si="324"/>
        <v>#DIV/0!</v>
      </c>
      <c r="M243" s="204"/>
      <c r="N243" s="394"/>
      <c r="O243" s="302"/>
      <c r="P243" s="315"/>
      <c r="Q243" s="394"/>
      <c r="R243" s="204"/>
      <c r="S243" s="204"/>
      <c r="T243" s="394"/>
      <c r="U243" s="204"/>
      <c r="V243" s="315"/>
      <c r="W243" s="394"/>
      <c r="X243" s="201"/>
      <c r="Y243" s="202"/>
      <c r="Z243" s="484"/>
      <c r="AA243" s="203">
        <v>265000</v>
      </c>
      <c r="AB243" s="374">
        <f t="shared" si="325"/>
        <v>0</v>
      </c>
      <c r="AC243" s="433"/>
      <c r="AF243" s="315"/>
      <c r="AG243" s="315"/>
      <c r="AX243" s="315"/>
      <c r="AY243" s="204">
        <f t="shared" si="314"/>
        <v>0</v>
      </c>
      <c r="AZ243" s="304" t="e">
        <f t="shared" si="315"/>
        <v>#DIV/0!</v>
      </c>
      <c r="BA243" s="304"/>
      <c r="BB243" s="304"/>
      <c r="BC243" s="304"/>
      <c r="BD243" s="304"/>
      <c r="BE243" s="315"/>
      <c r="BF243" s="204">
        <f t="shared" si="326"/>
        <v>0</v>
      </c>
      <c r="BG243" s="304" t="e">
        <f t="shared" si="327"/>
        <v>#DIV/0!</v>
      </c>
      <c r="BH243" s="200"/>
      <c r="BI243" s="200"/>
      <c r="BJ243" s="200"/>
      <c r="BK243" s="200"/>
      <c r="BL243" s="206">
        <f t="shared" si="316"/>
        <v>0</v>
      </c>
      <c r="BM243" s="206">
        <f t="shared" si="328"/>
        <v>0</v>
      </c>
      <c r="BN243" s="206"/>
      <c r="BO243" s="206"/>
      <c r="BP243" s="206">
        <f t="shared" si="310"/>
        <v>0</v>
      </c>
      <c r="BQ243" s="199" t="e">
        <f t="shared" si="329"/>
        <v>#DIV/0!</v>
      </c>
      <c r="BR243" s="205" t="e">
        <f t="shared" si="311"/>
        <v>#DIV/0!</v>
      </c>
      <c r="BS243" s="413"/>
      <c r="BW243" s="207">
        <f t="shared" si="320"/>
        <v>0</v>
      </c>
      <c r="BX243" s="206"/>
      <c r="BY243" s="206"/>
      <c r="BZ243" s="206"/>
      <c r="CA243" s="206">
        <f t="shared" si="312"/>
        <v>0</v>
      </c>
      <c r="CB243" s="199" t="e">
        <f t="shared" si="330"/>
        <v>#DIV/0!</v>
      </c>
      <c r="CC243" s="413"/>
      <c r="CD243" s="413"/>
      <c r="CE243" s="413"/>
      <c r="CF243" s="413"/>
      <c r="CG243" s="206">
        <f t="shared" si="331"/>
        <v>0</v>
      </c>
      <c r="CH243" s="304" t="e">
        <f t="shared" si="296"/>
        <v>#DIV/0!</v>
      </c>
      <c r="CL243" s="206">
        <f t="shared" si="298"/>
        <v>0</v>
      </c>
      <c r="CM243" s="316"/>
      <c r="CO243" s="206">
        <f t="shared" si="300"/>
        <v>0</v>
      </c>
      <c r="CP243" s="206" t="e">
        <f t="shared" si="301"/>
        <v>#DIV/0!</v>
      </c>
    </row>
    <row r="244" spans="1:94" s="317" customFormat="1" ht="18" customHeight="1" x14ac:dyDescent="0.25">
      <c r="A244" s="68"/>
      <c r="D244" s="416">
        <f t="shared" si="273"/>
        <v>0</v>
      </c>
      <c r="E244" s="563" t="e">
        <f t="shared" si="322"/>
        <v>#DIV/0!</v>
      </c>
      <c r="G244" s="204">
        <f t="shared" si="274"/>
        <v>0</v>
      </c>
      <c r="H244" s="199" t="e">
        <f t="shared" si="323"/>
        <v>#DIV/0!</v>
      </c>
      <c r="J244" s="204">
        <f t="shared" si="275"/>
        <v>0</v>
      </c>
      <c r="K244" s="199" t="e">
        <f t="shared" si="324"/>
        <v>#DIV/0!</v>
      </c>
      <c r="M244" s="204"/>
      <c r="N244" s="394"/>
      <c r="O244" s="302"/>
      <c r="P244" s="315"/>
      <c r="Q244" s="394"/>
      <c r="R244" s="204"/>
      <c r="S244" s="204"/>
      <c r="T244" s="394"/>
      <c r="U244" s="204"/>
      <c r="V244" s="315"/>
      <c r="W244" s="394"/>
      <c r="X244" s="201"/>
      <c r="Y244" s="202"/>
      <c r="Z244" s="484"/>
      <c r="AA244" s="203">
        <v>7603</v>
      </c>
      <c r="AB244" s="374">
        <f t="shared" si="325"/>
        <v>363234</v>
      </c>
      <c r="AC244" s="433"/>
      <c r="AF244" s="315"/>
      <c r="AG244" s="315"/>
      <c r="AX244" s="315"/>
      <c r="AY244" s="204">
        <f t="shared" si="314"/>
        <v>0</v>
      </c>
      <c r="AZ244" s="304" t="e">
        <f t="shared" si="315"/>
        <v>#DIV/0!</v>
      </c>
      <c r="BA244" s="304"/>
      <c r="BB244" s="304"/>
      <c r="BC244" s="304"/>
      <c r="BD244" s="304"/>
      <c r="BE244" s="315"/>
      <c r="BF244" s="204">
        <f t="shared" si="326"/>
        <v>0</v>
      </c>
      <c r="BG244" s="304" t="e">
        <f t="shared" si="327"/>
        <v>#DIV/0!</v>
      </c>
      <c r="BH244" s="200"/>
      <c r="BI244" s="200"/>
      <c r="BJ244" s="200"/>
      <c r="BK244" s="200"/>
      <c r="BL244" s="206">
        <f t="shared" si="316"/>
        <v>0</v>
      </c>
      <c r="BM244" s="206">
        <f t="shared" si="328"/>
        <v>0</v>
      </c>
      <c r="BN244" s="206"/>
      <c r="BO244" s="206"/>
      <c r="BP244" s="206">
        <f t="shared" si="310"/>
        <v>0</v>
      </c>
      <c r="BQ244" s="199" t="e">
        <f t="shared" si="329"/>
        <v>#DIV/0!</v>
      </c>
      <c r="BR244" s="205" t="e">
        <f t="shared" si="311"/>
        <v>#DIV/0!</v>
      </c>
      <c r="BS244" s="413"/>
      <c r="BW244" s="207">
        <f t="shared" si="320"/>
        <v>0</v>
      </c>
      <c r="BX244" s="206"/>
      <c r="BY244" s="206"/>
      <c r="BZ244" s="206"/>
      <c r="CA244" s="206">
        <f t="shared" si="312"/>
        <v>0</v>
      </c>
      <c r="CB244" s="199" t="e">
        <f t="shared" si="330"/>
        <v>#DIV/0!</v>
      </c>
      <c r="CC244" s="413"/>
      <c r="CD244" s="413"/>
      <c r="CE244" s="413"/>
      <c r="CF244" s="413"/>
      <c r="CG244" s="206">
        <f t="shared" si="331"/>
        <v>0</v>
      </c>
      <c r="CH244" s="304" t="e">
        <f t="shared" si="296"/>
        <v>#DIV/0!</v>
      </c>
      <c r="CL244" s="206">
        <f t="shared" si="298"/>
        <v>0</v>
      </c>
      <c r="CM244" s="316"/>
      <c r="CO244" s="206">
        <f t="shared" si="300"/>
        <v>0</v>
      </c>
      <c r="CP244" s="206" t="e">
        <f t="shared" si="301"/>
        <v>#DIV/0!</v>
      </c>
    </row>
    <row r="245" spans="1:94" s="317" customFormat="1" ht="18" customHeight="1" x14ac:dyDescent="0.25">
      <c r="A245" s="68"/>
      <c r="D245" s="416">
        <f t="shared" si="273"/>
        <v>0</v>
      </c>
      <c r="E245" s="563" t="e">
        <f t="shared" si="322"/>
        <v>#DIV/0!</v>
      </c>
      <c r="G245" s="204">
        <f t="shared" si="274"/>
        <v>0</v>
      </c>
      <c r="H245" s="199" t="e">
        <f t="shared" si="323"/>
        <v>#DIV/0!</v>
      </c>
      <c r="J245" s="204">
        <f t="shared" si="275"/>
        <v>0</v>
      </c>
      <c r="K245" s="199" t="e">
        <f t="shared" si="324"/>
        <v>#DIV/0!</v>
      </c>
      <c r="M245" s="204"/>
      <c r="N245" s="394"/>
      <c r="O245" s="302"/>
      <c r="P245" s="315"/>
      <c r="Q245" s="394"/>
      <c r="R245" s="204"/>
      <c r="S245" s="204"/>
      <c r="T245" s="394"/>
      <c r="U245" s="204"/>
      <c r="V245" s="315"/>
      <c r="W245" s="394"/>
      <c r="X245" s="201"/>
      <c r="Y245" s="202"/>
      <c r="Z245" s="484"/>
      <c r="AA245" s="203">
        <v>32624</v>
      </c>
      <c r="AB245" s="374">
        <f t="shared" si="325"/>
        <v>56491</v>
      </c>
      <c r="AC245" s="433"/>
      <c r="AF245" s="315"/>
      <c r="AG245" s="315"/>
      <c r="AX245" s="315"/>
      <c r="AY245" s="204">
        <f t="shared" si="314"/>
        <v>0</v>
      </c>
      <c r="AZ245" s="304" t="e">
        <f t="shared" si="315"/>
        <v>#DIV/0!</v>
      </c>
      <c r="BA245" s="304"/>
      <c r="BB245" s="304"/>
      <c r="BC245" s="304"/>
      <c r="BD245" s="304"/>
      <c r="BE245" s="315"/>
      <c r="BF245" s="204">
        <f t="shared" si="326"/>
        <v>0</v>
      </c>
      <c r="BG245" s="304" t="e">
        <f t="shared" si="327"/>
        <v>#DIV/0!</v>
      </c>
      <c r="BH245" s="200"/>
      <c r="BI245" s="200"/>
      <c r="BJ245" s="200"/>
      <c r="BK245" s="200"/>
      <c r="BL245" s="206">
        <f t="shared" si="316"/>
        <v>0</v>
      </c>
      <c r="BM245" s="206">
        <f t="shared" si="328"/>
        <v>0</v>
      </c>
      <c r="BN245" s="206"/>
      <c r="BO245" s="206"/>
      <c r="BP245" s="206">
        <f t="shared" si="310"/>
        <v>0</v>
      </c>
      <c r="BQ245" s="199" t="e">
        <f t="shared" si="329"/>
        <v>#DIV/0!</v>
      </c>
      <c r="BR245" s="205" t="e">
        <f t="shared" si="311"/>
        <v>#DIV/0!</v>
      </c>
      <c r="BS245" s="413"/>
      <c r="BW245" s="207">
        <f t="shared" si="320"/>
        <v>0</v>
      </c>
      <c r="BX245" s="206"/>
      <c r="BY245" s="206"/>
      <c r="BZ245" s="206"/>
      <c r="CA245" s="206">
        <f t="shared" si="312"/>
        <v>0</v>
      </c>
      <c r="CB245" s="199" t="e">
        <f t="shared" si="330"/>
        <v>#DIV/0!</v>
      </c>
      <c r="CC245" s="413"/>
      <c r="CD245" s="413"/>
      <c r="CE245" s="413"/>
      <c r="CF245" s="413"/>
      <c r="CG245" s="206">
        <f t="shared" si="331"/>
        <v>0</v>
      </c>
      <c r="CH245" s="304" t="e">
        <f t="shared" si="296"/>
        <v>#DIV/0!</v>
      </c>
      <c r="CL245" s="206">
        <f t="shared" si="298"/>
        <v>0</v>
      </c>
      <c r="CM245" s="316"/>
      <c r="CO245" s="206">
        <f t="shared" si="300"/>
        <v>0</v>
      </c>
      <c r="CP245" s="206" t="e">
        <f t="shared" si="301"/>
        <v>#DIV/0!</v>
      </c>
    </row>
    <row r="246" spans="1:94" s="317" customFormat="1" ht="18" customHeight="1" x14ac:dyDescent="0.25">
      <c r="A246" s="68"/>
      <c r="D246" s="416">
        <f t="shared" si="273"/>
        <v>0</v>
      </c>
      <c r="E246" s="563" t="e">
        <f t="shared" si="322"/>
        <v>#DIV/0!</v>
      </c>
      <c r="G246" s="204">
        <f t="shared" si="274"/>
        <v>0</v>
      </c>
      <c r="H246" s="199" t="e">
        <f t="shared" si="323"/>
        <v>#DIV/0!</v>
      </c>
      <c r="J246" s="204">
        <f t="shared" si="275"/>
        <v>0</v>
      </c>
      <c r="K246" s="199" t="e">
        <f t="shared" si="324"/>
        <v>#DIV/0!</v>
      </c>
      <c r="M246" s="204"/>
      <c r="N246" s="394"/>
      <c r="O246" s="302"/>
      <c r="P246" s="315"/>
      <c r="Q246" s="394"/>
      <c r="R246" s="204"/>
      <c r="S246" s="204"/>
      <c r="T246" s="394"/>
      <c r="U246" s="204"/>
      <c r="V246" s="315"/>
      <c r="W246" s="394"/>
      <c r="X246" s="201"/>
      <c r="Y246" s="202"/>
      <c r="Z246" s="484"/>
      <c r="AA246" s="203">
        <v>96696</v>
      </c>
      <c r="AB246" s="374">
        <f t="shared" si="325"/>
        <v>265000</v>
      </c>
      <c r="AC246" s="433"/>
      <c r="AF246" s="315"/>
      <c r="AG246" s="315"/>
      <c r="AX246" s="315"/>
      <c r="AY246" s="204">
        <f t="shared" si="314"/>
        <v>0</v>
      </c>
      <c r="AZ246" s="304" t="e">
        <f t="shared" si="315"/>
        <v>#DIV/0!</v>
      </c>
      <c r="BA246" s="304"/>
      <c r="BB246" s="304"/>
      <c r="BC246" s="304"/>
      <c r="BD246" s="304"/>
      <c r="BE246" s="315"/>
      <c r="BF246" s="204">
        <f t="shared" si="326"/>
        <v>0</v>
      </c>
      <c r="BG246" s="304" t="e">
        <f t="shared" si="327"/>
        <v>#DIV/0!</v>
      </c>
      <c r="BH246" s="200"/>
      <c r="BI246" s="200"/>
      <c r="BJ246" s="200"/>
      <c r="BK246" s="200"/>
      <c r="BL246" s="206">
        <f t="shared" si="316"/>
        <v>0</v>
      </c>
      <c r="BM246" s="206">
        <f t="shared" si="328"/>
        <v>0</v>
      </c>
      <c r="BN246" s="206"/>
      <c r="BO246" s="206"/>
      <c r="BP246" s="206">
        <f t="shared" si="310"/>
        <v>0</v>
      </c>
      <c r="BQ246" s="199" t="e">
        <f t="shared" si="329"/>
        <v>#DIV/0!</v>
      </c>
      <c r="BR246" s="205" t="e">
        <f t="shared" si="311"/>
        <v>#DIV/0!</v>
      </c>
      <c r="BS246" s="413"/>
      <c r="BW246" s="207">
        <f t="shared" si="320"/>
        <v>0</v>
      </c>
      <c r="BX246" s="206"/>
      <c r="BY246" s="206"/>
      <c r="BZ246" s="206"/>
      <c r="CA246" s="206">
        <f t="shared" si="312"/>
        <v>0</v>
      </c>
      <c r="CB246" s="199" t="e">
        <f t="shared" si="330"/>
        <v>#DIV/0!</v>
      </c>
      <c r="CC246" s="413"/>
      <c r="CD246" s="413"/>
      <c r="CE246" s="413"/>
      <c r="CF246" s="413"/>
      <c r="CG246" s="206">
        <f t="shared" si="331"/>
        <v>0</v>
      </c>
      <c r="CH246" s="304" t="e">
        <f t="shared" si="296"/>
        <v>#DIV/0!</v>
      </c>
      <c r="CL246" s="206">
        <f t="shared" si="298"/>
        <v>0</v>
      </c>
      <c r="CM246" s="316"/>
      <c r="CO246" s="206">
        <f t="shared" si="300"/>
        <v>0</v>
      </c>
      <c r="CP246" s="206" t="e">
        <f t="shared" si="301"/>
        <v>#DIV/0!</v>
      </c>
    </row>
    <row r="247" spans="1:94" s="317" customFormat="1" ht="18" customHeight="1" x14ac:dyDescent="0.25">
      <c r="A247" s="68"/>
      <c r="D247" s="416">
        <f t="shared" si="273"/>
        <v>0</v>
      </c>
      <c r="E247" s="563" t="e">
        <f t="shared" si="322"/>
        <v>#DIV/0!</v>
      </c>
      <c r="G247" s="204">
        <f t="shared" si="274"/>
        <v>0</v>
      </c>
      <c r="H247" s="199" t="e">
        <f t="shared" si="323"/>
        <v>#DIV/0!</v>
      </c>
      <c r="J247" s="204">
        <f t="shared" si="275"/>
        <v>0</v>
      </c>
      <c r="K247" s="199" t="e">
        <f t="shared" si="324"/>
        <v>#DIV/0!</v>
      </c>
      <c r="M247" s="204"/>
      <c r="N247" s="394"/>
      <c r="O247" s="302"/>
      <c r="P247" s="315"/>
      <c r="Q247" s="394"/>
      <c r="R247" s="204"/>
      <c r="S247" s="204"/>
      <c r="T247" s="394"/>
      <c r="U247" s="204"/>
      <c r="V247" s="315"/>
      <c r="W247" s="394"/>
      <c r="X247" s="201"/>
      <c r="Y247" s="202"/>
      <c r="Z247" s="484"/>
      <c r="AA247" s="203">
        <v>7919</v>
      </c>
      <c r="AB247" s="374">
        <f t="shared" si="325"/>
        <v>7603</v>
      </c>
      <c r="AC247" s="433"/>
      <c r="AF247" s="315"/>
      <c r="AG247" s="315"/>
      <c r="AX247" s="315"/>
      <c r="AY247" s="204">
        <f t="shared" si="314"/>
        <v>0</v>
      </c>
      <c r="AZ247" s="304" t="e">
        <f t="shared" si="315"/>
        <v>#DIV/0!</v>
      </c>
      <c r="BA247" s="304"/>
      <c r="BB247" s="304"/>
      <c r="BC247" s="304"/>
      <c r="BD247" s="304"/>
      <c r="BE247" s="315"/>
      <c r="BF247" s="204">
        <f t="shared" si="326"/>
        <v>0</v>
      </c>
      <c r="BG247" s="304" t="e">
        <f t="shared" si="327"/>
        <v>#DIV/0!</v>
      </c>
      <c r="BH247" s="200"/>
      <c r="BI247" s="200"/>
      <c r="BJ247" s="200"/>
      <c r="BK247" s="200"/>
      <c r="BL247" s="206">
        <f t="shared" si="316"/>
        <v>0</v>
      </c>
      <c r="BM247" s="206">
        <f t="shared" si="328"/>
        <v>0</v>
      </c>
      <c r="BN247" s="206"/>
      <c r="BO247" s="206"/>
      <c r="BP247" s="206">
        <f t="shared" si="310"/>
        <v>0</v>
      </c>
      <c r="BQ247" s="199" t="e">
        <f t="shared" si="329"/>
        <v>#DIV/0!</v>
      </c>
      <c r="BR247" s="205" t="e">
        <f t="shared" si="311"/>
        <v>#DIV/0!</v>
      </c>
      <c r="BS247" s="413"/>
      <c r="BW247" s="207">
        <f t="shared" si="320"/>
        <v>0</v>
      </c>
      <c r="BX247" s="206"/>
      <c r="BY247" s="206"/>
      <c r="BZ247" s="206"/>
      <c r="CA247" s="206">
        <f t="shared" si="312"/>
        <v>0</v>
      </c>
      <c r="CB247" s="199" t="e">
        <f t="shared" si="330"/>
        <v>#DIV/0!</v>
      </c>
      <c r="CC247" s="413"/>
      <c r="CD247" s="413"/>
      <c r="CE247" s="413"/>
      <c r="CF247" s="413"/>
      <c r="CG247" s="206">
        <f t="shared" si="331"/>
        <v>0</v>
      </c>
      <c r="CH247" s="304" t="e">
        <f t="shared" si="296"/>
        <v>#DIV/0!</v>
      </c>
      <c r="CL247" s="206">
        <f t="shared" si="298"/>
        <v>0</v>
      </c>
      <c r="CM247" s="316"/>
      <c r="CO247" s="206">
        <f t="shared" si="300"/>
        <v>0</v>
      </c>
      <c r="CP247" s="206" t="e">
        <f t="shared" si="301"/>
        <v>#DIV/0!</v>
      </c>
    </row>
    <row r="248" spans="1:94" s="317" customFormat="1" ht="18" customHeight="1" x14ac:dyDescent="0.25">
      <c r="A248" s="68"/>
      <c r="D248" s="416">
        <f t="shared" si="273"/>
        <v>0</v>
      </c>
      <c r="E248" s="563" t="e">
        <f t="shared" si="322"/>
        <v>#DIV/0!</v>
      </c>
      <c r="G248" s="204">
        <f t="shared" si="274"/>
        <v>0</v>
      </c>
      <c r="H248" s="199" t="e">
        <f t="shared" si="323"/>
        <v>#DIV/0!</v>
      </c>
      <c r="J248" s="204">
        <f t="shared" si="275"/>
        <v>0</v>
      </c>
      <c r="K248" s="199" t="e">
        <f t="shared" si="324"/>
        <v>#DIV/0!</v>
      </c>
      <c r="M248" s="204"/>
      <c r="N248" s="394"/>
      <c r="O248" s="302"/>
      <c r="P248" s="315"/>
      <c r="Q248" s="394"/>
      <c r="R248" s="204"/>
      <c r="S248" s="204"/>
      <c r="T248" s="394"/>
      <c r="U248" s="204"/>
      <c r="V248" s="315"/>
      <c r="W248" s="394"/>
      <c r="X248" s="201"/>
      <c r="Y248" s="202"/>
      <c r="Z248" s="484"/>
      <c r="AA248" s="203">
        <v>98889</v>
      </c>
      <c r="AB248" s="374">
        <f t="shared" si="325"/>
        <v>32624</v>
      </c>
      <c r="AC248" s="433"/>
      <c r="AF248" s="315"/>
      <c r="AG248" s="315"/>
      <c r="AX248" s="315"/>
      <c r="AY248" s="204">
        <f t="shared" si="314"/>
        <v>0</v>
      </c>
      <c r="AZ248" s="304" t="e">
        <f t="shared" si="315"/>
        <v>#DIV/0!</v>
      </c>
      <c r="BA248" s="304"/>
      <c r="BB248" s="304"/>
      <c r="BC248" s="304"/>
      <c r="BD248" s="304"/>
      <c r="BE248" s="315"/>
      <c r="BF248" s="204">
        <f t="shared" si="326"/>
        <v>0</v>
      </c>
      <c r="BG248" s="304" t="e">
        <f t="shared" si="327"/>
        <v>#DIV/0!</v>
      </c>
      <c r="BH248" s="200"/>
      <c r="BI248" s="200"/>
      <c r="BJ248" s="200"/>
      <c r="BK248" s="200"/>
      <c r="BL248" s="206">
        <f t="shared" si="316"/>
        <v>0</v>
      </c>
      <c r="BM248" s="206">
        <f t="shared" si="328"/>
        <v>0</v>
      </c>
      <c r="BN248" s="206"/>
      <c r="BO248" s="206"/>
      <c r="BP248" s="206">
        <f t="shared" si="310"/>
        <v>0</v>
      </c>
      <c r="BQ248" s="199" t="e">
        <f t="shared" si="329"/>
        <v>#DIV/0!</v>
      </c>
      <c r="BR248" s="205" t="e">
        <f t="shared" si="311"/>
        <v>#DIV/0!</v>
      </c>
      <c r="BS248" s="413"/>
      <c r="BW248" s="207">
        <f t="shared" si="320"/>
        <v>0</v>
      </c>
      <c r="BX248" s="206"/>
      <c r="BY248" s="206"/>
      <c r="BZ248" s="206"/>
      <c r="CA248" s="206">
        <f t="shared" si="312"/>
        <v>0</v>
      </c>
      <c r="CB248" s="199" t="e">
        <f t="shared" si="330"/>
        <v>#DIV/0!</v>
      </c>
      <c r="CC248" s="413"/>
      <c r="CD248" s="413"/>
      <c r="CE248" s="413"/>
      <c r="CF248" s="413"/>
      <c r="CG248" s="206">
        <f t="shared" si="331"/>
        <v>0</v>
      </c>
      <c r="CH248" s="304" t="e">
        <f t="shared" si="296"/>
        <v>#DIV/0!</v>
      </c>
      <c r="CL248" s="206">
        <f t="shared" si="298"/>
        <v>0</v>
      </c>
      <c r="CM248" s="316"/>
      <c r="CO248" s="206">
        <f t="shared" si="300"/>
        <v>0</v>
      </c>
      <c r="CP248" s="206" t="e">
        <f t="shared" si="301"/>
        <v>#DIV/0!</v>
      </c>
    </row>
    <row r="249" spans="1:94" s="317" customFormat="1" ht="18" customHeight="1" x14ac:dyDescent="0.25">
      <c r="A249" s="68"/>
      <c r="D249" s="416">
        <f t="shared" si="273"/>
        <v>0</v>
      </c>
      <c r="E249" s="563" t="e">
        <f t="shared" si="322"/>
        <v>#DIV/0!</v>
      </c>
      <c r="G249" s="204">
        <f t="shared" si="274"/>
        <v>0</v>
      </c>
      <c r="H249" s="199" t="e">
        <f t="shared" si="323"/>
        <v>#DIV/0!</v>
      </c>
      <c r="J249" s="204">
        <f t="shared" si="275"/>
        <v>0</v>
      </c>
      <c r="K249" s="199" t="e">
        <f t="shared" si="324"/>
        <v>#DIV/0!</v>
      </c>
      <c r="M249" s="204"/>
      <c r="N249" s="394"/>
      <c r="O249" s="302"/>
      <c r="P249" s="315"/>
      <c r="Q249" s="394"/>
      <c r="R249" s="204"/>
      <c r="S249" s="204"/>
      <c r="T249" s="394"/>
      <c r="U249" s="204"/>
      <c r="V249" s="315"/>
      <c r="W249" s="394"/>
      <c r="X249" s="201"/>
      <c r="Y249" s="202"/>
      <c r="Z249" s="484"/>
      <c r="AA249" s="203">
        <v>2400</v>
      </c>
      <c r="AB249" s="374">
        <f t="shared" si="325"/>
        <v>96696</v>
      </c>
      <c r="AC249" s="433"/>
      <c r="AF249" s="315"/>
      <c r="AG249" s="315"/>
      <c r="AX249" s="315"/>
      <c r="AY249" s="204">
        <f t="shared" si="314"/>
        <v>0</v>
      </c>
      <c r="AZ249" s="304" t="e">
        <f t="shared" si="315"/>
        <v>#DIV/0!</v>
      </c>
      <c r="BA249" s="304"/>
      <c r="BB249" s="304"/>
      <c r="BC249" s="304"/>
      <c r="BD249" s="304"/>
      <c r="BE249" s="315"/>
      <c r="BF249" s="204">
        <f t="shared" si="326"/>
        <v>0</v>
      </c>
      <c r="BG249" s="304" t="e">
        <f t="shared" si="327"/>
        <v>#DIV/0!</v>
      </c>
      <c r="BH249" s="200"/>
      <c r="BI249" s="200"/>
      <c r="BJ249" s="200"/>
      <c r="BK249" s="200"/>
      <c r="BL249" s="206">
        <f t="shared" si="316"/>
        <v>0</v>
      </c>
      <c r="BM249" s="206">
        <f t="shared" si="328"/>
        <v>0</v>
      </c>
      <c r="BN249" s="206"/>
      <c r="BO249" s="206"/>
      <c r="BP249" s="206">
        <f t="shared" si="310"/>
        <v>0</v>
      </c>
      <c r="BQ249" s="199" t="e">
        <f t="shared" si="329"/>
        <v>#DIV/0!</v>
      </c>
      <c r="BR249" s="205" t="e">
        <f t="shared" si="311"/>
        <v>#DIV/0!</v>
      </c>
      <c r="BS249" s="413"/>
      <c r="BW249" s="207">
        <f t="shared" si="320"/>
        <v>0</v>
      </c>
      <c r="BX249" s="206"/>
      <c r="BY249" s="206"/>
      <c r="BZ249" s="206"/>
      <c r="CA249" s="206">
        <f t="shared" si="312"/>
        <v>0</v>
      </c>
      <c r="CB249" s="199" t="e">
        <f t="shared" si="330"/>
        <v>#DIV/0!</v>
      </c>
      <c r="CC249" s="413"/>
      <c r="CD249" s="413"/>
      <c r="CE249" s="413"/>
      <c r="CF249" s="413"/>
      <c r="CG249" s="206">
        <f t="shared" si="331"/>
        <v>0</v>
      </c>
      <c r="CH249" s="304" t="e">
        <f t="shared" si="296"/>
        <v>#DIV/0!</v>
      </c>
      <c r="CL249" s="206">
        <f t="shared" si="298"/>
        <v>0</v>
      </c>
      <c r="CM249" s="316"/>
      <c r="CO249" s="206">
        <f t="shared" si="300"/>
        <v>0</v>
      </c>
      <c r="CP249" s="206" t="e">
        <f t="shared" si="301"/>
        <v>#DIV/0!</v>
      </c>
    </row>
    <row r="250" spans="1:94" s="317" customFormat="1" ht="18" customHeight="1" x14ac:dyDescent="0.25">
      <c r="A250" s="68"/>
      <c r="D250" s="416">
        <f t="shared" si="273"/>
        <v>0</v>
      </c>
      <c r="E250" s="563" t="e">
        <f t="shared" si="322"/>
        <v>#DIV/0!</v>
      </c>
      <c r="G250" s="204">
        <f t="shared" si="274"/>
        <v>0</v>
      </c>
      <c r="H250" s="199" t="e">
        <f t="shared" si="323"/>
        <v>#DIV/0!</v>
      </c>
      <c r="J250" s="204">
        <f t="shared" si="275"/>
        <v>0</v>
      </c>
      <c r="K250" s="199" t="e">
        <f t="shared" si="324"/>
        <v>#DIV/0!</v>
      </c>
      <c r="M250" s="204"/>
      <c r="N250" s="394"/>
      <c r="O250" s="302"/>
      <c r="P250" s="315"/>
      <c r="Q250" s="394"/>
      <c r="R250" s="204"/>
      <c r="S250" s="204"/>
      <c r="T250" s="394"/>
      <c r="U250" s="204"/>
      <c r="V250" s="315"/>
      <c r="W250" s="394"/>
      <c r="X250" s="201"/>
      <c r="Y250" s="202"/>
      <c r="Z250" s="484"/>
      <c r="AA250" s="203">
        <v>17</v>
      </c>
      <c r="AB250" s="374">
        <f t="shared" si="325"/>
        <v>7919</v>
      </c>
      <c r="AC250" s="433"/>
      <c r="AF250" s="315"/>
      <c r="AG250" s="315"/>
      <c r="AX250" s="315"/>
      <c r="AY250" s="204">
        <f t="shared" si="314"/>
        <v>0</v>
      </c>
      <c r="AZ250" s="304" t="e">
        <f t="shared" si="315"/>
        <v>#DIV/0!</v>
      </c>
      <c r="BA250" s="304"/>
      <c r="BB250" s="304"/>
      <c r="BC250" s="304"/>
      <c r="BD250" s="304"/>
      <c r="BE250" s="315"/>
      <c r="BF250" s="204">
        <f t="shared" si="326"/>
        <v>0</v>
      </c>
      <c r="BG250" s="304" t="e">
        <f t="shared" si="327"/>
        <v>#DIV/0!</v>
      </c>
      <c r="BH250" s="200"/>
      <c r="BI250" s="200"/>
      <c r="BJ250" s="200"/>
      <c r="BK250" s="200"/>
      <c r="BL250" s="206">
        <f t="shared" si="316"/>
        <v>0</v>
      </c>
      <c r="BM250" s="206">
        <f t="shared" si="328"/>
        <v>0</v>
      </c>
      <c r="BN250" s="206"/>
      <c r="BO250" s="206"/>
      <c r="BP250" s="206">
        <f t="shared" si="310"/>
        <v>0</v>
      </c>
      <c r="BQ250" s="199" t="e">
        <f t="shared" si="329"/>
        <v>#DIV/0!</v>
      </c>
      <c r="BR250" s="205" t="e">
        <f t="shared" si="311"/>
        <v>#DIV/0!</v>
      </c>
      <c r="BS250" s="413"/>
      <c r="BW250" s="207">
        <f t="shared" si="320"/>
        <v>0</v>
      </c>
      <c r="BX250" s="206"/>
      <c r="BY250" s="206"/>
      <c r="BZ250" s="206"/>
      <c r="CA250" s="206">
        <f t="shared" si="312"/>
        <v>0</v>
      </c>
      <c r="CB250" s="199" t="e">
        <f t="shared" si="330"/>
        <v>#DIV/0!</v>
      </c>
      <c r="CC250" s="413"/>
      <c r="CD250" s="413"/>
      <c r="CE250" s="413"/>
      <c r="CF250" s="413"/>
      <c r="CG250" s="206">
        <f t="shared" si="331"/>
        <v>0</v>
      </c>
      <c r="CH250" s="304" t="e">
        <f t="shared" si="296"/>
        <v>#DIV/0!</v>
      </c>
      <c r="CL250" s="206">
        <f t="shared" si="298"/>
        <v>0</v>
      </c>
      <c r="CM250" s="316"/>
      <c r="CO250" s="206">
        <f t="shared" si="300"/>
        <v>0</v>
      </c>
      <c r="CP250" s="206" t="e">
        <f t="shared" si="301"/>
        <v>#DIV/0!</v>
      </c>
    </row>
    <row r="251" spans="1:94" s="317" customFormat="1" ht="18" customHeight="1" x14ac:dyDescent="0.25">
      <c r="A251" s="68"/>
      <c r="D251" s="416">
        <f t="shared" si="273"/>
        <v>0</v>
      </c>
      <c r="E251" s="563" t="e">
        <f t="shared" si="322"/>
        <v>#DIV/0!</v>
      </c>
      <c r="G251" s="204">
        <f t="shared" si="274"/>
        <v>0</v>
      </c>
      <c r="H251" s="199" t="e">
        <f t="shared" si="323"/>
        <v>#DIV/0!</v>
      </c>
      <c r="J251" s="204">
        <f t="shared" si="275"/>
        <v>0</v>
      </c>
      <c r="K251" s="199" t="e">
        <f t="shared" si="324"/>
        <v>#DIV/0!</v>
      </c>
      <c r="M251" s="204"/>
      <c r="N251" s="394"/>
      <c r="O251" s="302"/>
      <c r="P251" s="315"/>
      <c r="Q251" s="394"/>
      <c r="R251" s="204"/>
      <c r="S251" s="204"/>
      <c r="T251" s="394"/>
      <c r="U251" s="204"/>
      <c r="V251" s="315"/>
      <c r="W251" s="394"/>
      <c r="X251" s="201"/>
      <c r="Y251" s="202"/>
      <c r="Z251" s="484"/>
      <c r="AA251" s="203">
        <v>180000</v>
      </c>
      <c r="AB251" s="374">
        <f t="shared" si="325"/>
        <v>98889</v>
      </c>
      <c r="AC251" s="433"/>
      <c r="AF251" s="315"/>
      <c r="AG251" s="315"/>
      <c r="AX251" s="315"/>
      <c r="AY251" s="204">
        <f t="shared" si="314"/>
        <v>0</v>
      </c>
      <c r="AZ251" s="304" t="e">
        <f t="shared" si="315"/>
        <v>#DIV/0!</v>
      </c>
      <c r="BA251" s="304"/>
      <c r="BB251" s="304"/>
      <c r="BC251" s="304"/>
      <c r="BD251" s="304"/>
      <c r="BE251" s="315"/>
      <c r="BF251" s="204">
        <f t="shared" si="326"/>
        <v>0</v>
      </c>
      <c r="BG251" s="304" t="e">
        <f t="shared" si="327"/>
        <v>#DIV/0!</v>
      </c>
      <c r="BH251" s="200"/>
      <c r="BI251" s="200"/>
      <c r="BJ251" s="200"/>
      <c r="BK251" s="200"/>
      <c r="BL251" s="206">
        <f t="shared" si="316"/>
        <v>0</v>
      </c>
      <c r="BM251" s="206">
        <f t="shared" si="328"/>
        <v>0</v>
      </c>
      <c r="BN251" s="206"/>
      <c r="BO251" s="206"/>
      <c r="BP251" s="206">
        <f t="shared" si="310"/>
        <v>0</v>
      </c>
      <c r="BQ251" s="199" t="e">
        <f t="shared" si="329"/>
        <v>#DIV/0!</v>
      </c>
      <c r="BR251" s="205" t="e">
        <f t="shared" si="311"/>
        <v>#DIV/0!</v>
      </c>
      <c r="BS251" s="413"/>
      <c r="BW251" s="207">
        <f t="shared" si="320"/>
        <v>0</v>
      </c>
      <c r="BX251" s="206"/>
      <c r="BY251" s="206"/>
      <c r="BZ251" s="206"/>
      <c r="CA251" s="206">
        <f t="shared" si="312"/>
        <v>0</v>
      </c>
      <c r="CB251" s="199" t="e">
        <f t="shared" si="330"/>
        <v>#DIV/0!</v>
      </c>
      <c r="CC251" s="413"/>
      <c r="CD251" s="413"/>
      <c r="CE251" s="413"/>
      <c r="CF251" s="413"/>
      <c r="CG251" s="206">
        <f t="shared" si="331"/>
        <v>0</v>
      </c>
      <c r="CH251" s="304" t="e">
        <f t="shared" si="296"/>
        <v>#DIV/0!</v>
      </c>
      <c r="CL251" s="206">
        <f t="shared" si="298"/>
        <v>0</v>
      </c>
      <c r="CM251" s="316"/>
      <c r="CO251" s="206">
        <f t="shared" si="300"/>
        <v>0</v>
      </c>
      <c r="CP251" s="206" t="e">
        <f t="shared" si="301"/>
        <v>#DIV/0!</v>
      </c>
    </row>
    <row r="252" spans="1:94" s="317" customFormat="1" ht="18" customHeight="1" x14ac:dyDescent="0.25">
      <c r="A252" s="68"/>
      <c r="D252" s="416">
        <f t="shared" si="273"/>
        <v>0</v>
      </c>
      <c r="E252" s="563" t="e">
        <f t="shared" si="322"/>
        <v>#DIV/0!</v>
      </c>
      <c r="G252" s="204">
        <f t="shared" si="274"/>
        <v>0</v>
      </c>
      <c r="H252" s="199" t="e">
        <f t="shared" si="323"/>
        <v>#DIV/0!</v>
      </c>
      <c r="J252" s="204">
        <f t="shared" si="275"/>
        <v>0</v>
      </c>
      <c r="K252" s="199" t="e">
        <f t="shared" si="324"/>
        <v>#DIV/0!</v>
      </c>
      <c r="M252" s="204"/>
      <c r="N252" s="394"/>
      <c r="O252" s="302"/>
      <c r="P252" s="315"/>
      <c r="Q252" s="394"/>
      <c r="R252" s="204"/>
      <c r="S252" s="204"/>
      <c r="T252" s="394"/>
      <c r="U252" s="204"/>
      <c r="V252" s="315"/>
      <c r="W252" s="394"/>
      <c r="X252" s="201"/>
      <c r="Y252" s="202"/>
      <c r="Z252" s="484"/>
      <c r="AA252" s="203">
        <v>108680</v>
      </c>
      <c r="AB252" s="374">
        <f t="shared" si="325"/>
        <v>2400</v>
      </c>
      <c r="AC252" s="433"/>
      <c r="AF252" s="315"/>
      <c r="AG252" s="315"/>
      <c r="AX252" s="315"/>
      <c r="AY252" s="204">
        <f t="shared" si="314"/>
        <v>0</v>
      </c>
      <c r="AZ252" s="304" t="e">
        <f t="shared" si="315"/>
        <v>#DIV/0!</v>
      </c>
      <c r="BA252" s="304"/>
      <c r="BB252" s="304"/>
      <c r="BC252" s="304"/>
      <c r="BD252" s="304"/>
      <c r="BE252" s="315"/>
      <c r="BF252" s="204">
        <f t="shared" si="326"/>
        <v>0</v>
      </c>
      <c r="BG252" s="304" t="e">
        <f t="shared" si="327"/>
        <v>#DIV/0!</v>
      </c>
      <c r="BH252" s="200"/>
      <c r="BI252" s="200"/>
      <c r="BJ252" s="200"/>
      <c r="BK252" s="200"/>
      <c r="BL252" s="206">
        <f t="shared" si="316"/>
        <v>0</v>
      </c>
      <c r="BM252" s="206">
        <f t="shared" si="328"/>
        <v>0</v>
      </c>
      <c r="BN252" s="206"/>
      <c r="BO252" s="206"/>
      <c r="BP252" s="206">
        <f t="shared" si="310"/>
        <v>0</v>
      </c>
      <c r="BQ252" s="199" t="e">
        <f t="shared" si="329"/>
        <v>#DIV/0!</v>
      </c>
      <c r="BR252" s="205" t="e">
        <f t="shared" si="311"/>
        <v>#DIV/0!</v>
      </c>
      <c r="BS252" s="413"/>
      <c r="BW252" s="207">
        <f t="shared" si="320"/>
        <v>0</v>
      </c>
      <c r="BX252" s="206"/>
      <c r="BY252" s="206"/>
      <c r="BZ252" s="206"/>
      <c r="CA252" s="206">
        <f t="shared" si="312"/>
        <v>0</v>
      </c>
      <c r="CB252" s="199" t="e">
        <f t="shared" si="330"/>
        <v>#DIV/0!</v>
      </c>
      <c r="CC252" s="413"/>
      <c r="CD252" s="413"/>
      <c r="CE252" s="413"/>
      <c r="CF252" s="413"/>
      <c r="CG252" s="206">
        <f t="shared" si="331"/>
        <v>0</v>
      </c>
      <c r="CH252" s="304" t="e">
        <f t="shared" si="296"/>
        <v>#DIV/0!</v>
      </c>
      <c r="CL252" s="206">
        <f t="shared" si="298"/>
        <v>0</v>
      </c>
      <c r="CM252" s="316"/>
      <c r="CO252" s="206">
        <f t="shared" si="300"/>
        <v>0</v>
      </c>
      <c r="CP252" s="206" t="e">
        <f t="shared" si="301"/>
        <v>#DIV/0!</v>
      </c>
    </row>
    <row r="253" spans="1:94" s="317" customFormat="1" ht="18" customHeight="1" x14ac:dyDescent="0.25">
      <c r="A253" s="68"/>
      <c r="D253" s="416">
        <f t="shared" si="273"/>
        <v>0</v>
      </c>
      <c r="E253" s="563" t="e">
        <f t="shared" si="322"/>
        <v>#DIV/0!</v>
      </c>
      <c r="G253" s="204">
        <f t="shared" si="274"/>
        <v>0</v>
      </c>
      <c r="H253" s="199" t="e">
        <f t="shared" si="323"/>
        <v>#DIV/0!</v>
      </c>
      <c r="J253" s="204">
        <f t="shared" si="275"/>
        <v>0</v>
      </c>
      <c r="K253" s="199" t="e">
        <f t="shared" si="324"/>
        <v>#DIV/0!</v>
      </c>
      <c r="M253" s="204"/>
      <c r="N253" s="394"/>
      <c r="O253" s="302"/>
      <c r="P253" s="315"/>
      <c r="Q253" s="394"/>
      <c r="R253" s="204"/>
      <c r="S253" s="204"/>
      <c r="T253" s="394"/>
      <c r="U253" s="204"/>
      <c r="V253" s="315"/>
      <c r="W253" s="394"/>
      <c r="X253" s="201"/>
      <c r="Y253" s="202"/>
      <c r="Z253" s="484"/>
      <c r="AA253" s="203">
        <v>9770</v>
      </c>
      <c r="AB253" s="374">
        <f t="shared" si="325"/>
        <v>17</v>
      </c>
      <c r="AC253" s="433"/>
      <c r="AF253" s="315"/>
      <c r="AG253" s="315"/>
      <c r="AX253" s="315"/>
      <c r="AY253" s="204">
        <f t="shared" si="314"/>
        <v>0</v>
      </c>
      <c r="AZ253" s="304" t="e">
        <f t="shared" si="315"/>
        <v>#DIV/0!</v>
      </c>
      <c r="BA253" s="304"/>
      <c r="BB253" s="304"/>
      <c r="BC253" s="304"/>
      <c r="BD253" s="304"/>
      <c r="BE253" s="315"/>
      <c r="BF253" s="204">
        <f t="shared" si="326"/>
        <v>0</v>
      </c>
      <c r="BG253" s="304" t="e">
        <f t="shared" si="327"/>
        <v>#DIV/0!</v>
      </c>
      <c r="BH253" s="200"/>
      <c r="BI253" s="200"/>
      <c r="BJ253" s="200"/>
      <c r="BK253" s="200"/>
      <c r="BL253" s="206">
        <f t="shared" si="316"/>
        <v>0</v>
      </c>
      <c r="BM253" s="206">
        <f t="shared" si="328"/>
        <v>0</v>
      </c>
      <c r="BN253" s="206"/>
      <c r="BO253" s="206"/>
      <c r="BP253" s="206">
        <f t="shared" si="310"/>
        <v>0</v>
      </c>
      <c r="BQ253" s="199" t="e">
        <f t="shared" si="329"/>
        <v>#DIV/0!</v>
      </c>
      <c r="BR253" s="205" t="e">
        <f t="shared" si="311"/>
        <v>#DIV/0!</v>
      </c>
      <c r="BS253" s="413"/>
      <c r="BW253" s="207">
        <f t="shared" si="320"/>
        <v>0</v>
      </c>
      <c r="BX253" s="206"/>
      <c r="BY253" s="206"/>
      <c r="BZ253" s="206"/>
      <c r="CA253" s="206">
        <f t="shared" si="312"/>
        <v>0</v>
      </c>
      <c r="CB253" s="199" t="e">
        <f t="shared" si="330"/>
        <v>#DIV/0!</v>
      </c>
      <c r="CC253" s="413"/>
      <c r="CD253" s="413"/>
      <c r="CE253" s="413"/>
      <c r="CF253" s="413"/>
      <c r="CG253" s="206">
        <f t="shared" si="331"/>
        <v>0</v>
      </c>
      <c r="CH253" s="304" t="e">
        <f t="shared" si="296"/>
        <v>#DIV/0!</v>
      </c>
      <c r="CL253" s="206">
        <f t="shared" si="298"/>
        <v>0</v>
      </c>
      <c r="CM253" s="316"/>
      <c r="CO253" s="206">
        <f t="shared" si="300"/>
        <v>0</v>
      </c>
      <c r="CP253" s="206" t="e">
        <f t="shared" si="301"/>
        <v>#DIV/0!</v>
      </c>
    </row>
    <row r="254" spans="1:94" ht="18" customHeight="1" thickBot="1" x14ac:dyDescent="0.3">
      <c r="D254" s="416">
        <f t="shared" si="273"/>
        <v>0</v>
      </c>
      <c r="E254" s="563" t="e">
        <f t="shared" si="322"/>
        <v>#DIV/0!</v>
      </c>
      <c r="G254" s="204">
        <f t="shared" si="274"/>
        <v>0</v>
      </c>
      <c r="H254" s="199" t="e">
        <f t="shared" si="323"/>
        <v>#DIV/0!</v>
      </c>
      <c r="J254" s="204">
        <f t="shared" si="275"/>
        <v>0</v>
      </c>
      <c r="K254" s="199" t="e">
        <f t="shared" si="324"/>
        <v>#DIV/0!</v>
      </c>
      <c r="AA254" s="354">
        <f>SUM(AA241:AA253)</f>
        <v>1229323</v>
      </c>
      <c r="AB254" s="374">
        <f t="shared" si="325"/>
        <v>180000</v>
      </c>
      <c r="AY254" s="204">
        <f t="shared" si="314"/>
        <v>0</v>
      </c>
      <c r="AZ254" s="304" t="e">
        <f t="shared" si="315"/>
        <v>#DIV/0!</v>
      </c>
      <c r="BF254" s="204">
        <f t="shared" si="326"/>
        <v>0</v>
      </c>
      <c r="BG254" s="304" t="e">
        <f t="shared" si="327"/>
        <v>#DIV/0!</v>
      </c>
      <c r="BH254" s="200"/>
      <c r="BI254" s="200"/>
      <c r="BJ254" s="200"/>
      <c r="BK254" s="200"/>
      <c r="BL254" s="206">
        <f t="shared" si="316"/>
        <v>0</v>
      </c>
      <c r="BM254" s="206">
        <f t="shared" si="328"/>
        <v>0</v>
      </c>
      <c r="BN254" s="206"/>
      <c r="BO254" s="206"/>
      <c r="BP254" s="206">
        <f t="shared" si="310"/>
        <v>0</v>
      </c>
      <c r="BQ254" s="199" t="e">
        <f t="shared" si="329"/>
        <v>#DIV/0!</v>
      </c>
      <c r="BR254" s="205" t="e">
        <f t="shared" si="311"/>
        <v>#DIV/0!</v>
      </c>
      <c r="BW254" s="207">
        <f t="shared" si="320"/>
        <v>0</v>
      </c>
      <c r="BX254" s="206"/>
      <c r="BY254" s="206"/>
      <c r="BZ254" s="206"/>
      <c r="CA254" s="206">
        <f t="shared" si="312"/>
        <v>0</v>
      </c>
      <c r="CB254" s="199" t="e">
        <f t="shared" si="330"/>
        <v>#DIV/0!</v>
      </c>
      <c r="CC254" s="206"/>
      <c r="CD254" s="206"/>
      <c r="CE254" s="206"/>
      <c r="CF254" s="206"/>
      <c r="CG254" s="206">
        <f t="shared" si="331"/>
        <v>0</v>
      </c>
      <c r="CH254" s="304" t="e">
        <f t="shared" si="296"/>
        <v>#DIV/0!</v>
      </c>
      <c r="CL254" s="206">
        <f t="shared" si="298"/>
        <v>0</v>
      </c>
      <c r="CM254" s="304"/>
      <c r="CO254" s="206">
        <f t="shared" si="300"/>
        <v>0</v>
      </c>
      <c r="CP254" s="206" t="e">
        <f t="shared" si="301"/>
        <v>#DIV/0!</v>
      </c>
    </row>
    <row r="255" spans="1:94" s="283" customFormat="1" ht="18" customHeight="1" x14ac:dyDescent="0.25">
      <c r="A255" s="283" t="s">
        <v>337</v>
      </c>
      <c r="B255" s="477">
        <f>+B235+B200+B176+B142+B117+B82+B48</f>
        <v>3216212</v>
      </c>
      <c r="C255" s="477">
        <f>+C235+C200+C176+C142+C117+C82+C48</f>
        <v>3526215</v>
      </c>
      <c r="D255" s="665">
        <f t="shared" si="273"/>
        <v>310003</v>
      </c>
      <c r="E255" s="665">
        <f t="shared" si="322"/>
        <v>9.638761375182979E-2</v>
      </c>
      <c r="F255" s="477">
        <f>+F235+F200+F176+F142+F117+F82+F48</f>
        <v>3570540</v>
      </c>
      <c r="G255" s="477">
        <f t="shared" si="274"/>
        <v>44325</v>
      </c>
      <c r="H255" s="477">
        <f t="shared" si="323"/>
        <v>1.2570135400138675E-2</v>
      </c>
      <c r="I255" s="477">
        <f>+I235+I200+I176+I142+I117+I82+I48</f>
        <v>3608249</v>
      </c>
      <c r="J255" s="477">
        <f t="shared" si="275"/>
        <v>37709</v>
      </c>
      <c r="K255" s="477">
        <f t="shared" si="324"/>
        <v>1.0561147613526245E-2</v>
      </c>
      <c r="L255" s="477">
        <f>+L235+L200+L176+L142+L117+L82+L48</f>
        <v>3986249</v>
      </c>
      <c r="M255" s="477">
        <f>+M235+M200+M176+M142+M117+M82+M48</f>
        <v>119050</v>
      </c>
      <c r="N255" s="665" t="s">
        <v>132</v>
      </c>
      <c r="O255" s="477">
        <f>+O235+O200+O176+O142+O117+O82+O48</f>
        <v>4449363</v>
      </c>
      <c r="P255" s="477">
        <f>O255-L255</f>
        <v>463114</v>
      </c>
      <c r="Q255" s="477">
        <f>P255/L255</f>
        <v>0.11617789054321494</v>
      </c>
      <c r="R255" s="477">
        <f>+R235+R200+R176+R142+R117+R82+R48</f>
        <v>5194334</v>
      </c>
      <c r="S255" s="477">
        <f>R255-O255</f>
        <v>744971</v>
      </c>
      <c r="T255" s="477">
        <f>S255/O255</f>
        <v>0.16743318088454459</v>
      </c>
      <c r="U255" s="477">
        <f>+U235+U200+U176+U142+U117+U82+U48</f>
        <v>5490146</v>
      </c>
      <c r="V255" s="477">
        <f>U255-R255</f>
        <v>295812</v>
      </c>
      <c r="W255" s="477">
        <f>V255/R255</f>
        <v>5.6948975556827881E-2</v>
      </c>
      <c r="X255" s="666">
        <f>SUM(X235,X200,X176,X142,X117,X82,X48)</f>
        <v>6283891</v>
      </c>
      <c r="Y255" s="667">
        <f>X255-U255</f>
        <v>793745</v>
      </c>
      <c r="Z255" s="667">
        <f>Y255/U255</f>
        <v>0.1445763008852588</v>
      </c>
      <c r="AA255" s="668">
        <f>SUM(AA200,AA235,AA176,AA142,AA117,AA82,AA48)</f>
        <v>6256680</v>
      </c>
      <c r="AB255" s="669">
        <f>AA255-X255</f>
        <v>-27211</v>
      </c>
      <c r="AC255" s="477">
        <f>AB255/X255</f>
        <v>-4.3302788033719869E-3</v>
      </c>
      <c r="AD255" s="477">
        <f>+AD235+AD200+AD176+AD142+AD117+AD82+AD48</f>
        <v>5186888</v>
      </c>
      <c r="AE255" s="477">
        <f>+AE235+AE200+AE176+AE142+AE117+AE82+AE48</f>
        <v>813170</v>
      </c>
      <c r="AF255" s="477">
        <f>+AF235+AF200+AF176+AF142+AF117+AF82+AF48</f>
        <v>5823850</v>
      </c>
      <c r="AG255" s="477">
        <f>AF255-AA255</f>
        <v>-432830</v>
      </c>
      <c r="AH255" s="477">
        <f>AG255/AA255</f>
        <v>-6.917886163268698E-2</v>
      </c>
      <c r="AI255" s="477">
        <f t="shared" ref="AI255:AO255" si="332">+AI235+AI200+AI176+AI142+AI117+AI82+AI48</f>
        <v>3449739</v>
      </c>
      <c r="AJ255" s="477">
        <f t="shared" si="332"/>
        <v>5158606</v>
      </c>
      <c r="AK255" s="477">
        <f t="shared" si="332"/>
        <v>5590843</v>
      </c>
      <c r="AL255" s="477">
        <f t="shared" si="332"/>
        <v>101819</v>
      </c>
      <c r="AM255" s="477">
        <f t="shared" si="332"/>
        <v>5692662</v>
      </c>
      <c r="AN255" s="477">
        <f t="shared" si="332"/>
        <v>5268442</v>
      </c>
      <c r="AO255" s="477">
        <f t="shared" si="332"/>
        <v>6135094</v>
      </c>
      <c r="AP255" s="477">
        <f>+AN255/AD255-1</f>
        <v>1.5723107959917382E-2</v>
      </c>
      <c r="AQ255" s="477">
        <f>+AO255/AF255-1</f>
        <v>5.3442997329945063E-2</v>
      </c>
      <c r="AR255" s="477">
        <f>+AR235+AR200+AR176+AR142+AR117+AR82+AR48</f>
        <v>111299</v>
      </c>
      <c r="AS255" s="477">
        <f>+AS235+AS200+AS176+AS142+AS117+AS82+AS48</f>
        <v>6164782.7701300001</v>
      </c>
      <c r="AT255" s="477">
        <f>+AT235+AT200+AT176+AT142+AT117+AT82+AT48</f>
        <v>340932.77013000066</v>
      </c>
      <c r="AU255" s="477">
        <f>AT255/AF255</f>
        <v>5.8540788332460597E-2</v>
      </c>
      <c r="AV255" s="477">
        <f>+AV235+AV200+AV176+AV142+AV117+AV82+AV48</f>
        <v>327993.77013000025</v>
      </c>
      <c r="AW255" s="477">
        <f>+AV255/AF255</f>
        <v>5.6319062154760208E-2</v>
      </c>
      <c r="AX255" s="477">
        <f>+AX235+AX200+AX176+AX142+AX117+AX82+AX48</f>
        <v>6213682</v>
      </c>
      <c r="AY255" s="477">
        <f t="shared" si="314"/>
        <v>389832</v>
      </c>
      <c r="AZ255" s="477">
        <f t="shared" si="315"/>
        <v>6.6937163560187848E-2</v>
      </c>
      <c r="BA255" s="477"/>
      <c r="BB255" s="477">
        <f>BB235+BB200+BB176+BB142+BB117+BB82+BB48</f>
        <v>6053483.7701300001</v>
      </c>
      <c r="BC255" s="477"/>
      <c r="BD255" s="477"/>
      <c r="BE255" s="477">
        <f>+BE235+BE200+BE176+BE142+BE117+BE82+BE48</f>
        <v>6393866</v>
      </c>
      <c r="BF255" s="477">
        <f t="shared" si="326"/>
        <v>180184</v>
      </c>
      <c r="BG255" s="477">
        <f t="shared" si="327"/>
        <v>2.8997943570333983E-2</v>
      </c>
      <c r="BH255" s="477">
        <f>SUM(BH235,BH200,BH142,BH117,BH82,BH48,BH176)</f>
        <v>108124</v>
      </c>
      <c r="BI255" s="477"/>
      <c r="BJ255" s="477"/>
      <c r="BK255" s="477">
        <f>BK200+BK176+BK142+BK117+BK82+BK48</f>
        <v>3499</v>
      </c>
      <c r="BL255" s="477">
        <f>BE255+BH255+BI255+BJ255+BK255</f>
        <v>6505489</v>
      </c>
      <c r="BM255" s="477">
        <f t="shared" si="328"/>
        <v>340706.22986999992</v>
      </c>
      <c r="BN255" s="477">
        <f>BN235+BN200+BN176+BN142+BN117+BN82+BN48</f>
        <v>6749480</v>
      </c>
      <c r="BO255" s="477">
        <f>BO235+BO200+BO176+BO142+BO117+BO82+BO48</f>
        <v>6750301</v>
      </c>
      <c r="BP255" s="600">
        <f t="shared" si="310"/>
        <v>356435</v>
      </c>
      <c r="BQ255" s="477">
        <f t="shared" si="329"/>
        <v>5.5266542646208325E-2</v>
      </c>
      <c r="BR255" s="600">
        <f t="shared" si="311"/>
        <v>5.5746398188513804E-2</v>
      </c>
      <c r="BS255" s="477"/>
      <c r="BT255" s="477"/>
      <c r="BU255" s="477"/>
      <c r="BV255" s="477"/>
      <c r="BW255" s="477">
        <f>BW235+BW200+BW176+BW142+BW117+BW82+BW48</f>
        <v>7008639.7850000001</v>
      </c>
      <c r="BX255" s="477">
        <f>BX235+BX200+BX176+BX142+BX117+BX82+BX48</f>
        <v>6677195</v>
      </c>
      <c r="BY255" s="477"/>
      <c r="BZ255" s="477">
        <f>SUM(BZ235+BZ200+BZ176+BZ142+BZ117+BZ82+BZ48)</f>
        <v>6693934</v>
      </c>
      <c r="CA255" s="477">
        <f t="shared" si="312"/>
        <v>300068</v>
      </c>
      <c r="CB255" s="475">
        <f t="shared" si="330"/>
        <v>4.6125356602708882E-2</v>
      </c>
      <c r="CC255" s="477">
        <f>CC235+CC200+CC176+CC142+CC117+CC82+CC48</f>
        <v>7152461</v>
      </c>
      <c r="CD255" s="477">
        <f>CD235+CD200+CD176+CD142+CD117+CD82+CD48</f>
        <v>7210157</v>
      </c>
      <c r="CE255" s="477">
        <f>CE235+CE200+CE176+CE142+CE117+CE82+CE48</f>
        <v>48433</v>
      </c>
      <c r="CF255" s="477">
        <f>CF235+CF200+CF176+CF142+CF117+CF82+CF48</f>
        <v>7166598</v>
      </c>
      <c r="CG255" s="477">
        <f>CF255-BZ255</f>
        <v>472664</v>
      </c>
      <c r="CH255" s="670">
        <f t="shared" si="296"/>
        <v>7.0610794788236633E-2</v>
      </c>
      <c r="CI255" s="481">
        <f>CI235+CI200+CI176+CI142+CI117+CI82+CI48</f>
        <v>7706265.0999999996</v>
      </c>
      <c r="CJ255" s="481"/>
      <c r="CK255" s="481"/>
      <c r="CL255" s="750">
        <f t="shared" si="298"/>
        <v>-7166598</v>
      </c>
      <c r="CM255" s="671">
        <f>CL255/CF255</f>
        <v>-1</v>
      </c>
      <c r="CO255" s="206">
        <f t="shared" si="300"/>
        <v>0</v>
      </c>
      <c r="CP255" s="206" t="e">
        <f t="shared" si="301"/>
        <v>#DIV/0!</v>
      </c>
    </row>
    <row r="256" spans="1:94" ht="18" customHeight="1" x14ac:dyDescent="0.25">
      <c r="AB256" s="374"/>
      <c r="AM256" s="204"/>
      <c r="AN256" s="204"/>
      <c r="AO256" s="304" t="e">
        <f>+AO255/AF256-1</f>
        <v>#DIV/0!</v>
      </c>
      <c r="BN256" s="206"/>
      <c r="BP256" s="206">
        <f>BN256-BE256</f>
        <v>0</v>
      </c>
      <c r="BR256" s="205" t="e">
        <f t="shared" si="311"/>
        <v>#DIV/0!</v>
      </c>
    </row>
    <row r="257" spans="27:78" ht="18" customHeight="1" x14ac:dyDescent="0.25">
      <c r="AA257" s="362"/>
      <c r="AB257" s="374"/>
      <c r="AN257" s="204"/>
      <c r="AO257" s="204"/>
      <c r="BN257" s="206"/>
    </row>
    <row r="258" spans="27:78" ht="18" customHeight="1" x14ac:dyDescent="0.25">
      <c r="AA258" s="362"/>
      <c r="AB258" s="374"/>
      <c r="BN258" s="206"/>
      <c r="BO258" s="206"/>
      <c r="BW258" s="206">
        <f>7050420-6762028</f>
        <v>288392</v>
      </c>
      <c r="BX258" s="206"/>
      <c r="BY258" s="206"/>
      <c r="BZ258" s="206"/>
    </row>
    <row r="259" spans="27:78" ht="18" customHeight="1" x14ac:dyDescent="0.25">
      <c r="AB259" s="374"/>
      <c r="BN259" s="206"/>
      <c r="BO259" s="206"/>
    </row>
    <row r="260" spans="27:78" ht="18" customHeight="1" x14ac:dyDescent="0.25">
      <c r="AB260" s="374"/>
      <c r="BN260" s="206"/>
      <c r="BO260" s="206"/>
    </row>
    <row r="261" spans="27:78" ht="18" customHeight="1" x14ac:dyDescent="0.25">
      <c r="AB261" s="374"/>
      <c r="BN261" s="206"/>
      <c r="BO261" s="206"/>
    </row>
    <row r="262" spans="27:78" ht="18" customHeight="1" x14ac:dyDescent="0.25">
      <c r="AB262" s="374"/>
      <c r="BN262" s="206"/>
      <c r="BO262" s="206"/>
    </row>
    <row r="263" spans="27:78" ht="18" customHeight="1" x14ac:dyDescent="0.25">
      <c r="AB263" s="374"/>
      <c r="BN263" s="206"/>
      <c r="BO263" s="206"/>
    </row>
    <row r="264" spans="27:78" ht="18" customHeight="1" x14ac:dyDescent="0.25">
      <c r="AB264" s="374"/>
      <c r="BN264" s="206"/>
      <c r="BO264" s="206"/>
    </row>
    <row r="265" spans="27:78" ht="18" customHeight="1" x14ac:dyDescent="0.25">
      <c r="AB265" s="374"/>
      <c r="BN265" s="206"/>
      <c r="BO265" s="206"/>
    </row>
    <row r="266" spans="27:78" ht="18" customHeight="1" x14ac:dyDescent="0.25">
      <c r="BN266" s="206"/>
      <c r="BO266" s="206"/>
    </row>
    <row r="267" spans="27:78" ht="18" customHeight="1" x14ac:dyDescent="0.25">
      <c r="BN267" s="206"/>
      <c r="BO267" s="206"/>
    </row>
    <row r="268" spans="27:78" ht="18" customHeight="1" x14ac:dyDescent="0.25">
      <c r="BN268" s="206"/>
      <c r="BO268" s="206"/>
    </row>
    <row r="269" spans="27:78" ht="18" customHeight="1" x14ac:dyDescent="0.25">
      <c r="BN269" s="206"/>
      <c r="BO269" s="206"/>
    </row>
    <row r="270" spans="27:78" ht="18" customHeight="1" x14ac:dyDescent="0.25">
      <c r="BN270" s="206"/>
      <c r="BO270" s="206"/>
    </row>
    <row r="271" spans="27:78" ht="18" customHeight="1" x14ac:dyDescent="0.25">
      <c r="AJ271" s="66">
        <f>9.55*1.01416</f>
        <v>9.6852280000000004</v>
      </c>
      <c r="AK271" s="66">
        <v>9.4600000000000009</v>
      </c>
      <c r="AL271" s="66">
        <f>+AK271-AJ271</f>
        <v>-0.22522799999999954</v>
      </c>
      <c r="AM271" s="66">
        <f>+AK271/AJ271-1</f>
        <v>-2.3254795860252253E-2</v>
      </c>
      <c r="BN271" s="206"/>
      <c r="BO271" s="206"/>
    </row>
  </sheetData>
  <customSheetViews>
    <customSheetView guid="{AEFEB150-9213-45F5-A178-7AC71E46DB11}" scale="85" topLeftCell="A4">
      <pane xSplit="1" ySplit="2" topLeftCell="CI52" activePane="bottomRight" state="frozen"/>
      <selection pane="bottomRight" activeCell="CQ79" sqref="CQ79"/>
      <pageMargins left="0" right="0" top="0" bottom="0" header="0" footer="0"/>
      <pageSetup orientation="portrait" r:id="rId1"/>
      <headerFooter alignWithMargins="0"/>
    </customSheetView>
    <customSheetView guid="{AB763728-FC8E-40B1-8BAD-FF6772AD9A46}" topLeftCell="A4">
      <pane xSplit="1" ySplit="2" topLeftCell="CF15" activePane="bottomRight" state="frozen"/>
      <selection pane="bottomRight" activeCell="A23" sqref="A23"/>
      <pageMargins left="0" right="0" top="0" bottom="0" header="0" footer="0"/>
      <pageSetup orientation="portrait" r:id="rId2"/>
      <headerFooter alignWithMargins="0"/>
    </customSheetView>
    <customSheetView guid="{08B0A6E6-0C62-4331-9E9A-05DFF5B8DF5B}" scale="80" hiddenRows="1" hiddenColumns="1" topLeftCell="A4">
      <pane xSplit="1" ySplit="3" topLeftCell="CD88" activePane="bottomRight" state="frozen"/>
      <selection pane="bottomRight" activeCell="CE91" sqref="CE91"/>
      <pageMargins left="0" right="0" top="0" bottom="0" header="0" footer="0"/>
      <pageSetup orientation="portrait" r:id="rId3"/>
      <headerFooter alignWithMargins="0"/>
    </customSheetView>
    <customSheetView guid="{70E2A0B1-0EA6-43AE-8715-395179465BE5}" scale="80" hiddenRows="1" hiddenColumns="1" topLeftCell="A4">
      <pane xSplit="1" ySplit="3" topLeftCell="CI177" activePane="bottomRight" state="frozen"/>
      <selection pane="bottomRight" activeCell="A188" sqref="A188"/>
      <pageMargins left="0" right="0" top="0" bottom="0" header="0" footer="0"/>
      <pageSetup orientation="portrait" r:id="rId4"/>
      <headerFooter alignWithMargins="0"/>
    </customSheetView>
    <customSheetView guid="{34052DE1-5E82-4B7C-8FA6-8E533676FB0A}" scale="80" hiddenRows="1" hiddenColumns="1" topLeftCell="A4">
      <pane xSplit="1" ySplit="3" topLeftCell="BE169" activePane="bottomRight" state="frozen"/>
      <selection pane="bottomRight" activeCell="BY187" sqref="BY187"/>
      <pageMargins left="0" right="0" top="0" bottom="0" header="0" footer="0"/>
      <pageSetup orientation="portrait" r:id="rId5"/>
      <headerFooter alignWithMargins="0"/>
    </customSheetView>
    <customSheetView guid="{A2518DB3-3A80-4035-9307-EC50A7C923F2}" topLeftCell="A4">
      <pane xSplit="1" ySplit="3" topLeftCell="BX16" activePane="bottomRight" state="frozen"/>
      <selection pane="bottomRight" activeCell="CC25" sqref="CC25"/>
      <pageMargins left="0" right="0" top="0" bottom="0" header="0" footer="0"/>
      <pageSetup orientation="portrait" r:id="rId6"/>
      <headerFooter alignWithMargins="0"/>
    </customSheetView>
    <customSheetView guid="{E81D05A4-5B21-42D3-A8D3-906ABCABC0F4}" scale="80" hiddenRows="1" hiddenColumns="1" topLeftCell="A4">
      <pane xSplit="1" ySplit="3" topLeftCell="BV91" activePane="bottomRight" state="frozen"/>
      <selection pane="bottomRight" activeCell="BV103" sqref="BV103"/>
      <pageMargins left="0" right="0" top="0" bottom="0" header="0" footer="0"/>
      <pageSetup orientation="portrait" r:id="rId7"/>
      <headerFooter alignWithMargins="0"/>
    </customSheetView>
    <customSheetView guid="{E44F5FE1-54FC-4AB3-84F9-7D65ACF2DDE7}" scale="85" hiddenRows="1" hiddenColumns="1" topLeftCell="A4">
      <pane xSplit="1" ySplit="2" topLeftCell="AT47" activePane="bottomRight" state="frozen"/>
      <selection pane="bottomRight" activeCell="AX55" sqref="AX55"/>
      <pageMargins left="0" right="0" top="0" bottom="0" header="0" footer="0"/>
      <pageSetup orientation="portrait" r:id="rId8"/>
      <headerFooter alignWithMargins="0"/>
    </customSheetView>
    <customSheetView guid="{94DA13B6-7351-40F3-8CF7-A4211EC439DA}" scale="85" hiddenRows="1" topLeftCell="A3">
      <pane xSplit="1" ySplit="5" topLeftCell="AY138" activePane="bottomRight" state="frozen"/>
      <selection pane="bottomRight" activeCell="BC167" sqref="BC167"/>
      <pageMargins left="0" right="0" top="0" bottom="0" header="0" footer="0"/>
      <pageSetup orientation="portrait" r:id="rId9"/>
      <headerFooter alignWithMargins="0"/>
    </customSheetView>
    <customSheetView guid="{8F508F4D-4777-42BE-9707-8CB9355F7BDB}" scale="85" hiddenRows="1" topLeftCell="A4">
      <pane xSplit="1" ySplit="6" topLeftCell="AH46" activePane="bottomRight" state="frozen"/>
      <selection pane="bottomRight" activeCell="AS6" sqref="AS6"/>
      <pageMargins left="0" right="0" top="0" bottom="0" header="0" footer="0"/>
      <pageSetup orientation="portrait" r:id="rId10"/>
      <headerFooter alignWithMargins="0"/>
    </customSheetView>
    <customSheetView guid="{F784130D-F647-4ABA-8943-C79CA5B0FDC4}" scale="85" hiddenRows="1" topLeftCell="A4">
      <pane xSplit="1" ySplit="5" topLeftCell="BD43" activePane="bottomRight" state="frozen"/>
      <selection pane="bottomRight" activeCell="BG54" sqref="BG54"/>
      <pageMargins left="0" right="0" top="0" bottom="0" header="0" footer="0"/>
      <pageSetup orientation="portrait" r:id="rId11"/>
      <headerFooter alignWithMargins="0"/>
    </customSheetView>
    <customSheetView guid="{1E5198E1-BA46-4CE0-8628-4F695B0D7A3B}" scale="85" hiddenRows="1" topLeftCell="A4">
      <pane xSplit="1" ySplit="2" topLeftCell="AX6" activePane="bottomRight" state="frozen"/>
      <selection pane="bottomRight" activeCell="BB32" sqref="BB32"/>
      <pageMargins left="0" right="0" top="0" bottom="0" header="0" footer="0"/>
      <pageSetup orientation="portrait" r:id="rId12"/>
      <headerFooter alignWithMargins="0"/>
    </customSheetView>
    <customSheetView guid="{455630F5-40FC-47DB-8AD4-712C20B8FB91}" hiddenRows="1" hiddenColumns="1" topLeftCell="A4">
      <pane xSplit="1" ySplit="3" topLeftCell="BR28" activePane="bottomRight" state="frozen"/>
      <selection pane="bottomRight" activeCell="BT41" sqref="BT41"/>
      <pageMargins left="0" right="0" top="0" bottom="0" header="0" footer="0"/>
      <pageSetup orientation="portrait" r:id="rId13"/>
      <headerFooter alignWithMargins="0"/>
    </customSheetView>
    <customSheetView guid="{9D4F0482-B164-4671-805A-E0D2D4DD4720}" scale="85" hiddenRows="1" hiddenColumns="1" topLeftCell="A4">
      <pane xSplit="1" ySplit="2" topLeftCell="AD49" activePane="bottomRight" state="frozen"/>
      <selection pane="bottomRight" activeCell="A56" sqref="A56:IV56"/>
      <pageMargins left="0" right="0" top="0" bottom="0" header="0" footer="0"/>
      <pageSetup orientation="portrait" r:id="rId14"/>
      <headerFooter alignWithMargins="0"/>
    </customSheetView>
    <customSheetView guid="{567C3053-2D8E-4705-8DC7-18896C5303CA}" scale="85" showPageBreaks="1" hiddenRows="1" hiddenColumns="1" topLeftCell="A166">
      <pane xSplit="1" topLeftCell="BM1" activePane="topRight" state="frozen"/>
      <selection pane="topRight" activeCell="BO169" sqref="BO169"/>
      <pageMargins left="0" right="0" top="0" bottom="0" header="0" footer="0"/>
      <pageSetup orientation="portrait" r:id="rId15"/>
      <headerFooter alignWithMargins="0"/>
    </customSheetView>
    <customSheetView guid="{7A9890A5-7CC2-466F-AA52-39E8D428DC1C}" scale="85" hiddenRows="1" hiddenColumns="1" topLeftCell="A4">
      <pane xSplit="1" topLeftCell="B1" activePane="topRight" state="frozen"/>
      <selection pane="topRight" activeCell="A4" sqref="A4"/>
      <pageMargins left="0" right="0" top="0" bottom="0" header="0" footer="0"/>
      <pageSetup orientation="portrait" r:id="rId16"/>
      <headerFooter alignWithMargins="0"/>
    </customSheetView>
    <customSheetView guid="{CBA65C9F-528B-4CA5-AFDD-C38CD40775BB}" scale="85" hiddenRows="1" topLeftCell="A4">
      <pane xSplit="1" ySplit="2" topLeftCell="BC138" activePane="bottomRight" state="frozen"/>
      <selection pane="bottomRight" activeCell="BE153" sqref="BE153"/>
      <pageMargins left="0" right="0" top="0" bottom="0" header="0" footer="0"/>
      <pageSetup orientation="portrait" r:id="rId17"/>
      <headerFooter alignWithMargins="0"/>
    </customSheetView>
    <customSheetView guid="{78CA186D-B240-44D5-8A24-D241DE0B0FD9}" scale="80" hiddenRows="1" hiddenColumns="1" topLeftCell="A4">
      <pane xSplit="1" ySplit="3" topLeftCell="CB55" activePane="bottomRight" state="frozen"/>
      <selection pane="bottomRight" activeCell="CE75" sqref="CE75"/>
      <pageMargins left="0" right="0" top="0" bottom="0" header="0" footer="0"/>
      <pageSetup orientation="portrait" r:id="rId18"/>
      <headerFooter alignWithMargins="0"/>
    </customSheetView>
    <customSheetView guid="{5102CD51-6323-4C0C-991F-AF8276ECBB13}" scale="80" hiddenRows="1" hiddenColumns="1" topLeftCell="A4">
      <pane xSplit="1" ySplit="3" topLeftCell="CB7" activePane="bottomRight" state="frozen"/>
      <selection pane="bottomRight" activeCell="CE75" sqref="CE75"/>
      <pageMargins left="0.75" right="0.75" top="1" bottom="1" header="0.5" footer="0.5"/>
      <pageSetup orientation="portrait" r:id="rId19"/>
      <headerFooter alignWithMargins="0"/>
    </customSheetView>
    <customSheetView guid="{FF124C4D-20DF-4C1B-B072-A9ABB2F1106A}" topLeftCell="A4">
      <pane xSplit="1" ySplit="3" topLeftCell="CF19" activePane="bottomRight" state="frozen"/>
      <selection pane="bottomRight" activeCell="CJ29" sqref="CJ29"/>
      <pageMargins left="0" right="0" top="0" bottom="0" header="0" footer="0"/>
      <pageSetup orientation="portrait" r:id="rId20"/>
      <headerFooter alignWithMargins="0"/>
    </customSheetView>
    <customSheetView guid="{50528D02-548E-47E0-94D7-D1E79CD3569C}" topLeftCell="A4">
      <pane xSplit="1" ySplit="3" topLeftCell="CE92" activePane="bottomRight" state="frozen"/>
      <selection pane="bottomRight" activeCell="CJ140" sqref="CJ140"/>
      <pageMargins left="0" right="0" top="0" bottom="0" header="0" footer="0"/>
      <pageSetup orientation="portrait" r:id="rId21"/>
      <headerFooter alignWithMargins="0"/>
    </customSheetView>
  </customSheetViews>
  <mergeCells count="8">
    <mergeCell ref="CO4:CP4"/>
    <mergeCell ref="CL4:CM4"/>
    <mergeCell ref="AB4:AC4"/>
    <mergeCell ref="M4:N4"/>
    <mergeCell ref="P4:Q4"/>
    <mergeCell ref="V4:W4"/>
    <mergeCell ref="S4:T4"/>
    <mergeCell ref="Y4:Z4"/>
  </mergeCells>
  <phoneticPr fontId="0" type="noConversion"/>
  <pageMargins left="0" right="0" top="0" bottom="0" header="0" footer="0"/>
  <pageSetup orientation="portrait" r:id="rId22"/>
  <headerFooter alignWithMargins="0"/>
  <legacyDrawing r:id="rId2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IQ263"/>
  <sheetViews>
    <sheetView tabSelected="1" topLeftCell="A4" zoomScale="85" zoomScaleNormal="85" workbookViewId="0">
      <pane xSplit="1" ySplit="2" topLeftCell="BX65" activePane="bottomRight" state="frozen"/>
      <selection activeCell="A4" sqref="A4"/>
      <selection pane="topRight" activeCell="B4" sqref="B4"/>
      <selection pane="bottomLeft" activeCell="A6" sqref="A6"/>
      <selection pane="bottomRight" activeCell="CJ77" sqref="CJ77"/>
    </sheetView>
  </sheetViews>
  <sheetFormatPr defaultColWidth="8.7109375" defaultRowHeight="18" customHeight="1" x14ac:dyDescent="0.25"/>
  <cols>
    <col min="1" max="1" width="44.42578125" style="66" customWidth="1"/>
    <col min="2" max="4" width="11.42578125" style="66" customWidth="1"/>
    <col min="5" max="5" width="11.42578125" style="199" customWidth="1"/>
    <col min="6" max="6" width="11.85546875" style="66" customWidth="1"/>
    <col min="7" max="7" width="11.42578125" style="66" customWidth="1"/>
    <col min="8" max="8" width="11.42578125" style="199" customWidth="1"/>
    <col min="9" max="10" width="11.42578125" style="66" customWidth="1"/>
    <col min="11" max="11" width="11.42578125" style="199" customWidth="1"/>
    <col min="12" max="13" width="11.42578125" style="66" customWidth="1"/>
    <col min="14" max="14" width="11.42578125" style="199" customWidth="1"/>
    <col min="15" max="23" width="11.42578125" style="66" customWidth="1"/>
    <col min="24" max="24" width="15" style="66" customWidth="1"/>
    <col min="25" max="28" width="11.42578125" style="66" customWidth="1"/>
    <col min="29" max="29" width="11.42578125" style="200" customWidth="1"/>
    <col min="30" max="30" width="16.7109375" style="66" customWidth="1"/>
    <col min="31" max="31" width="11.42578125" style="201" customWidth="1"/>
    <col min="32" max="32" width="11.42578125" style="202" customWidth="1"/>
    <col min="33" max="33" width="12.140625" style="202" customWidth="1"/>
    <col min="34" max="34" width="11.42578125" style="202" customWidth="1"/>
    <col min="35" max="35" width="11.42578125" style="203" customWidth="1"/>
    <col min="36" max="39" width="11.42578125" style="66" customWidth="1"/>
    <col min="40" max="40" width="11.42578125" style="204" customWidth="1"/>
    <col min="41" max="41" width="11.42578125" style="205" customWidth="1"/>
    <col min="42" max="46" width="11.42578125" style="204" customWidth="1"/>
    <col min="47" max="47" width="11.42578125" style="206" customWidth="1"/>
    <col min="48" max="48" width="11.42578125" style="205" customWidth="1"/>
    <col min="49" max="49" width="11.42578125" style="203" customWidth="1"/>
    <col min="50" max="50" width="15.140625" style="66" customWidth="1"/>
    <col min="51" max="55" width="11.42578125" style="66" customWidth="1"/>
    <col min="56" max="57" width="11.42578125" style="207" customWidth="1"/>
    <col min="58" max="62" width="11.42578125" style="66" customWidth="1"/>
    <col min="63" max="63" width="11.42578125" style="208" customWidth="1"/>
    <col min="64" max="64" width="11.42578125" style="209" customWidth="1"/>
    <col min="65" max="65" width="11.42578125" style="204" customWidth="1"/>
    <col min="66" max="66" width="11.42578125" style="208" customWidth="1"/>
    <col min="67" max="69" width="11.42578125" style="66" customWidth="1"/>
    <col min="70" max="70" width="14.28515625" style="66" customWidth="1"/>
    <col min="71" max="71" width="12.5703125" style="66" customWidth="1"/>
    <col min="72" max="72" width="12.28515625" style="66" customWidth="1"/>
    <col min="73" max="74" width="17.5703125" style="204" customWidth="1"/>
    <col min="75" max="76" width="17.5703125" style="66" customWidth="1"/>
    <col min="77" max="77" width="16.85546875" style="66" customWidth="1"/>
    <col min="78" max="78" width="13.28515625" style="66" customWidth="1"/>
    <col min="79" max="79" width="14.140625" style="66" customWidth="1"/>
    <col min="80" max="80" width="14.7109375" style="66" customWidth="1"/>
    <col min="81" max="81" width="13.42578125" style="66" customWidth="1"/>
    <col min="82" max="82" width="12.42578125" style="66" customWidth="1"/>
    <col min="83" max="83" width="15.5703125" style="66" customWidth="1"/>
    <col min="84" max="84" width="17.7109375" style="66" customWidth="1"/>
    <col min="85" max="85" width="19" style="66" customWidth="1"/>
    <col min="86" max="86" width="19.5703125" style="66" customWidth="1"/>
    <col min="87" max="87" width="16.140625" style="66" customWidth="1"/>
    <col min="88" max="88" width="17.28515625" style="66" customWidth="1"/>
    <col min="89" max="251" width="47" style="66" bestFit="1" customWidth="1"/>
    <col min="252" max="16384" width="8.7109375" style="66"/>
  </cols>
  <sheetData>
    <row r="1" spans="1:88" ht="12.75" customHeight="1" x14ac:dyDescent="0.25">
      <c r="A1" s="66" t="s">
        <v>73</v>
      </c>
      <c r="AP1" s="204" t="s">
        <v>338</v>
      </c>
    </row>
    <row r="2" spans="1:88" ht="24" customHeight="1" x14ac:dyDescent="0.25">
      <c r="A2" s="68" t="s">
        <v>75</v>
      </c>
      <c r="B2" s="68"/>
      <c r="C2" s="68"/>
      <c r="D2" s="68"/>
      <c r="E2" s="210"/>
      <c r="F2" s="68"/>
      <c r="G2" s="68"/>
      <c r="H2" s="210"/>
      <c r="I2" s="68"/>
      <c r="J2" s="68"/>
      <c r="K2" s="210"/>
      <c r="R2" s="204"/>
    </row>
    <row r="3" spans="1:88" ht="15.75" thickBot="1" x14ac:dyDescent="0.3">
      <c r="L3" s="211"/>
      <c r="M3" s="211"/>
      <c r="N3" s="212"/>
      <c r="O3" s="211"/>
      <c r="P3" s="211"/>
      <c r="Q3" s="211"/>
      <c r="R3" s="211"/>
      <c r="U3" s="211"/>
    </row>
    <row r="4" spans="1:88" ht="18" customHeight="1" thickBot="1" x14ac:dyDescent="0.3">
      <c r="A4" s="213"/>
      <c r="B4" s="214" t="s">
        <v>22</v>
      </c>
      <c r="C4" s="215" t="s">
        <v>23</v>
      </c>
      <c r="D4" s="216" t="s">
        <v>77</v>
      </c>
      <c r="E4" s="217"/>
      <c r="F4" s="214" t="s">
        <v>25</v>
      </c>
      <c r="G4" s="777" t="s">
        <v>78</v>
      </c>
      <c r="H4" s="218"/>
      <c r="I4" s="215" t="s">
        <v>27</v>
      </c>
      <c r="J4" s="216" t="s">
        <v>79</v>
      </c>
      <c r="K4" s="217"/>
      <c r="L4" s="214" t="s">
        <v>29</v>
      </c>
      <c r="M4" s="832" t="s">
        <v>30</v>
      </c>
      <c r="N4" s="833"/>
      <c r="O4" s="215" t="s">
        <v>31</v>
      </c>
      <c r="P4" s="834" t="s">
        <v>32</v>
      </c>
      <c r="Q4" s="835"/>
      <c r="R4" s="219" t="s">
        <v>80</v>
      </c>
      <c r="S4" s="832" t="s">
        <v>81</v>
      </c>
      <c r="T4" s="833"/>
      <c r="U4" s="220" t="s">
        <v>35</v>
      </c>
      <c r="V4" s="834" t="s">
        <v>36</v>
      </c>
      <c r="W4" s="835"/>
      <c r="X4" s="221" t="s">
        <v>37</v>
      </c>
      <c r="Y4" s="832" t="s">
        <v>38</v>
      </c>
      <c r="Z4" s="833"/>
      <c r="AA4" s="830" t="s">
        <v>339</v>
      </c>
      <c r="AB4" s="222" t="s">
        <v>340</v>
      </c>
      <c r="AC4" s="776"/>
      <c r="AD4" s="223" t="s">
        <v>85</v>
      </c>
      <c r="AE4" s="224" t="s">
        <v>85</v>
      </c>
      <c r="AF4" s="225" t="s">
        <v>85</v>
      </c>
      <c r="AG4" s="226" t="s">
        <v>86</v>
      </c>
      <c r="AH4" s="227"/>
      <c r="AI4" s="223" t="s">
        <v>85</v>
      </c>
      <c r="AJ4" s="223" t="s">
        <v>85</v>
      </c>
      <c r="AK4" s="223" t="s">
        <v>87</v>
      </c>
      <c r="AL4" s="223" t="s">
        <v>87</v>
      </c>
      <c r="AM4" s="223" t="s">
        <v>87</v>
      </c>
      <c r="AN4" s="223" t="s">
        <v>87</v>
      </c>
      <c r="AO4" s="223" t="s">
        <v>87</v>
      </c>
      <c r="AP4" s="228" t="s">
        <v>87</v>
      </c>
      <c r="AQ4" s="228"/>
      <c r="AR4" s="148"/>
      <c r="AS4" s="148"/>
      <c r="AT4" s="148"/>
      <c r="AU4" s="148"/>
      <c r="AV4" s="148"/>
      <c r="AW4" s="148"/>
      <c r="AX4" s="148"/>
      <c r="AY4" s="148"/>
      <c r="AZ4" s="148"/>
      <c r="BA4" s="148"/>
      <c r="BB4" s="148"/>
      <c r="BC4" s="148"/>
      <c r="BD4" s="229"/>
      <c r="BE4" s="229"/>
      <c r="BF4" s="148"/>
      <c r="BG4" s="148"/>
      <c r="BH4" s="148"/>
      <c r="BI4" s="148"/>
      <c r="BJ4" s="148"/>
      <c r="BK4" s="230" t="s">
        <v>87</v>
      </c>
      <c r="BL4" s="231" t="s">
        <v>87</v>
      </c>
      <c r="BM4" s="232" t="s">
        <v>88</v>
      </c>
      <c r="BN4" s="233"/>
      <c r="BO4" s="234" t="s">
        <v>87</v>
      </c>
      <c r="BP4" s="235" t="s">
        <v>89</v>
      </c>
      <c r="BQ4" s="775"/>
      <c r="BR4" s="236" t="s">
        <v>45</v>
      </c>
      <c r="BS4" s="226" t="s">
        <v>90</v>
      </c>
      <c r="BT4" s="237"/>
      <c r="BU4" s="238" t="s">
        <v>45</v>
      </c>
      <c r="BV4" s="239" t="s">
        <v>91</v>
      </c>
      <c r="BW4" s="240" t="s">
        <v>74</v>
      </c>
      <c r="BX4" s="241" t="s">
        <v>74</v>
      </c>
      <c r="BY4" s="242" t="s">
        <v>74</v>
      </c>
      <c r="BZ4" s="243" t="s">
        <v>341</v>
      </c>
      <c r="CA4" s="244"/>
      <c r="CB4" s="245" t="s">
        <v>94</v>
      </c>
      <c r="CC4" s="245" t="s">
        <v>342</v>
      </c>
      <c r="CD4" s="245"/>
      <c r="CE4" s="244" t="s">
        <v>343</v>
      </c>
      <c r="CF4" s="828" t="s">
        <v>344</v>
      </c>
      <c r="CG4" s="829"/>
      <c r="CH4" s="752" t="s">
        <v>98</v>
      </c>
      <c r="CI4" s="826" t="s">
        <v>345</v>
      </c>
      <c r="CJ4" s="827"/>
    </row>
    <row r="5" spans="1:88" ht="50.25" customHeight="1" thickBot="1" x14ac:dyDescent="0.3">
      <c r="A5" s="246" t="s">
        <v>55</v>
      </c>
      <c r="B5" s="247" t="s">
        <v>100</v>
      </c>
      <c r="C5" s="248" t="s">
        <v>100</v>
      </c>
      <c r="D5" s="249" t="s">
        <v>57</v>
      </c>
      <c r="E5" s="250" t="s">
        <v>58</v>
      </c>
      <c r="F5" s="247" t="s">
        <v>100</v>
      </c>
      <c r="G5" s="251" t="s">
        <v>57</v>
      </c>
      <c r="H5" s="252" t="s">
        <v>58</v>
      </c>
      <c r="I5" s="248" t="s">
        <v>56</v>
      </c>
      <c r="J5" s="249" t="s">
        <v>57</v>
      </c>
      <c r="K5" s="250" t="s">
        <v>58</v>
      </c>
      <c r="L5" s="253" t="s">
        <v>56</v>
      </c>
      <c r="M5" s="251" t="s">
        <v>57</v>
      </c>
      <c r="N5" s="252" t="s">
        <v>58</v>
      </c>
      <c r="O5" s="254" t="s">
        <v>56</v>
      </c>
      <c r="P5" s="249" t="s">
        <v>57</v>
      </c>
      <c r="Q5" s="255" t="s">
        <v>58</v>
      </c>
      <c r="R5" s="256" t="s">
        <v>56</v>
      </c>
      <c r="S5" s="257" t="s">
        <v>57</v>
      </c>
      <c r="T5" s="252" t="s">
        <v>58</v>
      </c>
      <c r="U5" s="258" t="s">
        <v>56</v>
      </c>
      <c r="V5" s="249" t="s">
        <v>57</v>
      </c>
      <c r="W5" s="250" t="s">
        <v>58</v>
      </c>
      <c r="X5" s="256" t="s">
        <v>56</v>
      </c>
      <c r="Y5" s="251" t="s">
        <v>57</v>
      </c>
      <c r="Z5" s="252" t="s">
        <v>58</v>
      </c>
      <c r="AA5" s="831"/>
      <c r="AB5" s="259" t="s">
        <v>57</v>
      </c>
      <c r="AC5" s="260" t="s">
        <v>58</v>
      </c>
      <c r="AD5" s="261" t="s">
        <v>101</v>
      </c>
      <c r="AE5" s="262" t="s">
        <v>102</v>
      </c>
      <c r="AF5" s="247" t="s">
        <v>56</v>
      </c>
      <c r="AG5" s="256" t="s">
        <v>57</v>
      </c>
      <c r="AH5" s="263" t="s">
        <v>58</v>
      </c>
      <c r="AI5" s="261" t="s">
        <v>103</v>
      </c>
      <c r="AJ5" s="262" t="s">
        <v>104</v>
      </c>
      <c r="AK5" s="262" t="s">
        <v>105</v>
      </c>
      <c r="AL5" s="262" t="s">
        <v>106</v>
      </c>
      <c r="AM5" s="262" t="s">
        <v>107</v>
      </c>
      <c r="AN5" s="264" t="s">
        <v>108</v>
      </c>
      <c r="AO5" s="265" t="s">
        <v>109</v>
      </c>
      <c r="AP5" s="266" t="s">
        <v>110</v>
      </c>
      <c r="AQ5" s="266" t="s">
        <v>111</v>
      </c>
      <c r="AR5" s="266" t="s">
        <v>346</v>
      </c>
      <c r="AS5" s="267" t="s">
        <v>347</v>
      </c>
      <c r="AT5" s="268" t="s">
        <v>348</v>
      </c>
      <c r="AU5" s="269" t="s">
        <v>349</v>
      </c>
      <c r="AV5" s="268" t="s">
        <v>115</v>
      </c>
      <c r="AW5" s="269" t="s">
        <v>116</v>
      </c>
      <c r="AX5" s="148"/>
      <c r="AY5" s="270" t="s">
        <v>350</v>
      </c>
      <c r="AZ5" s="270" t="s">
        <v>351</v>
      </c>
      <c r="BA5" s="270" t="s">
        <v>352</v>
      </c>
      <c r="BB5" s="270" t="s">
        <v>353</v>
      </c>
      <c r="BC5" s="270" t="s">
        <v>354</v>
      </c>
      <c r="BD5" s="271" t="s">
        <v>355</v>
      </c>
      <c r="BE5" s="271" t="s">
        <v>356</v>
      </c>
      <c r="BF5" s="270" t="s">
        <v>357</v>
      </c>
      <c r="BG5" s="148"/>
      <c r="BH5" s="148"/>
      <c r="BI5" s="270" t="s">
        <v>358</v>
      </c>
      <c r="BJ5" s="270" t="s">
        <v>359</v>
      </c>
      <c r="BK5" s="272" t="s">
        <v>360</v>
      </c>
      <c r="BL5" s="273" t="s">
        <v>56</v>
      </c>
      <c r="BM5" s="274" t="s">
        <v>57</v>
      </c>
      <c r="BN5" s="273" t="s">
        <v>114</v>
      </c>
      <c r="BO5" s="268" t="s">
        <v>76</v>
      </c>
      <c r="BP5" s="275" t="s">
        <v>57</v>
      </c>
      <c r="BQ5" s="276" t="s">
        <v>58</v>
      </c>
      <c r="BR5" s="277" t="s">
        <v>56</v>
      </c>
      <c r="BS5" s="256" t="s">
        <v>57</v>
      </c>
      <c r="BT5" s="263" t="s">
        <v>58</v>
      </c>
      <c r="BU5" s="278" t="s">
        <v>123</v>
      </c>
      <c r="BV5" s="279" t="s">
        <v>57</v>
      </c>
      <c r="BW5" s="280" t="s">
        <v>124</v>
      </c>
      <c r="BX5" s="241" t="s">
        <v>361</v>
      </c>
      <c r="BY5" s="281" t="s">
        <v>56</v>
      </c>
      <c r="BZ5" s="244" t="s">
        <v>362</v>
      </c>
      <c r="CA5" s="244" t="s">
        <v>58</v>
      </c>
      <c r="CB5" s="236" t="s">
        <v>492</v>
      </c>
      <c r="CC5" s="236" t="s">
        <v>57</v>
      </c>
      <c r="CD5" s="236" t="s">
        <v>58</v>
      </c>
      <c r="CE5" s="215" t="s">
        <v>126</v>
      </c>
      <c r="CF5" s="215" t="s">
        <v>57</v>
      </c>
      <c r="CG5" s="215" t="s">
        <v>58</v>
      </c>
      <c r="CH5" s="751" t="s">
        <v>124</v>
      </c>
      <c r="CI5" s="752" t="s">
        <v>57</v>
      </c>
      <c r="CJ5" s="752" t="s">
        <v>58</v>
      </c>
    </row>
    <row r="6" spans="1:88" s="289" customFormat="1" ht="15" x14ac:dyDescent="0.25">
      <c r="A6" s="282" t="s">
        <v>59</v>
      </c>
      <c r="B6" s="283"/>
      <c r="C6" s="283"/>
      <c r="D6" s="283"/>
      <c r="E6" s="284"/>
      <c r="F6" s="283"/>
      <c r="G6" s="283"/>
      <c r="H6" s="284"/>
      <c r="I6" s="283"/>
      <c r="J6" s="283"/>
      <c r="K6" s="284"/>
      <c r="L6" s="285"/>
      <c r="M6" s="285"/>
      <c r="N6" s="286"/>
      <c r="O6" s="285"/>
      <c r="P6" s="285"/>
      <c r="Q6" s="285"/>
      <c r="R6" s="287"/>
      <c r="S6" s="287"/>
      <c r="T6" s="288"/>
      <c r="U6" s="288"/>
      <c r="V6" s="288"/>
      <c r="W6" s="288"/>
      <c r="AC6" s="290"/>
      <c r="AE6" s="291"/>
      <c r="AF6" s="292"/>
      <c r="AG6" s="292"/>
      <c r="AH6" s="292"/>
      <c r="AI6" s="292"/>
      <c r="AJ6" s="293" t="s">
        <v>363</v>
      </c>
      <c r="AK6" s="293"/>
      <c r="AL6" s="293"/>
      <c r="AM6" s="293"/>
      <c r="AN6" s="294"/>
      <c r="AO6" s="295"/>
      <c r="AP6" s="294"/>
      <c r="AQ6" s="294"/>
      <c r="AR6" s="294"/>
      <c r="AS6" s="294"/>
      <c r="AT6" s="294"/>
      <c r="AU6" s="296"/>
      <c r="AV6" s="295"/>
      <c r="AW6" s="287"/>
      <c r="BD6" s="297"/>
      <c r="BE6" s="298"/>
      <c r="BF6" s="289" t="s">
        <v>363</v>
      </c>
      <c r="BG6" s="289" t="s">
        <v>364</v>
      </c>
      <c r="BH6" s="289" t="s">
        <v>365</v>
      </c>
      <c r="BK6" s="299"/>
      <c r="BL6" s="300"/>
      <c r="BM6" s="287"/>
      <c r="BN6" s="299"/>
      <c r="BO6" s="301"/>
      <c r="BU6" s="287"/>
      <c r="BV6" s="287"/>
      <c r="BW6" s="296"/>
      <c r="BY6" s="296"/>
    </row>
    <row r="7" spans="1:88" ht="18" customHeight="1" x14ac:dyDescent="0.25">
      <c r="A7" s="68" t="s">
        <v>127</v>
      </c>
      <c r="B7" s="302">
        <f>'FY 2016 by Agency'!B7*Inflator!$E$2</f>
        <v>15128.864832535884</v>
      </c>
      <c r="C7" s="302">
        <f>'FY 2016 by Agency'!C7*Inflator!$E$3</f>
        <v>17083.621715610512</v>
      </c>
      <c r="D7" s="302">
        <f>C7-B7</f>
        <v>1954.7568830746277</v>
      </c>
      <c r="E7" s="303">
        <f>(C7-B7)/B7</f>
        <v>0.1292071087098855</v>
      </c>
      <c r="F7" s="204">
        <f>'FY 2016 by Agency'!F7*Inflator!$E$4</f>
        <v>17178.368861819567</v>
      </c>
      <c r="G7" s="204">
        <f>F7-C7</f>
        <v>94.747146209054335</v>
      </c>
      <c r="H7" s="199">
        <f>(F7-C7)/C7</f>
        <v>5.5460807893256718E-3</v>
      </c>
      <c r="I7" s="204">
        <f>'FY 2016 by Agency'!I7*Inflator!$E$5</f>
        <v>15270.878021569359</v>
      </c>
      <c r="J7" s="204">
        <f>I7-F7</f>
        <v>-1907.4908402502078</v>
      </c>
      <c r="K7" s="199">
        <f>(I7-F7)/F7</f>
        <v>-0.11104027719941291</v>
      </c>
      <c r="L7" s="204">
        <f>'FY 2016 by Agency'!L7*Inflator!$E$6</f>
        <v>15479.410032715376</v>
      </c>
      <c r="M7" s="204">
        <f>L7-I7</f>
        <v>208.53201114601688</v>
      </c>
      <c r="N7" s="199">
        <f>(L7-I7)/I7</f>
        <v>1.3655535120605099E-2</v>
      </c>
      <c r="O7" s="204">
        <f>'FY 2016 by Agency'!O7*Inflator!$E$7</f>
        <v>15682.751847940865</v>
      </c>
      <c r="P7" s="204">
        <f>O7-L7</f>
        <v>203.34181522548897</v>
      </c>
      <c r="Q7" s="304">
        <f t="shared" ref="Q7:Q35" si="0">P7/L7</f>
        <v>1.3136276821644413E-2</v>
      </c>
      <c r="R7" s="204">
        <f>'FY 2016 by Agency'!R7*Inflator!$E$8</f>
        <v>16425.081466395113</v>
      </c>
      <c r="S7" s="204">
        <f t="shared" ref="S7:S48" si="1">R7-O7</f>
        <v>742.3296184542487</v>
      </c>
      <c r="T7" s="304">
        <f t="shared" ref="T7:T35" si="2">S7/O7</f>
        <v>4.7334142990454582E-2</v>
      </c>
      <c r="U7" s="204">
        <f>'FY 2016 by Agency'!U7*Inflator!$E$9</f>
        <v>19908.486405835542</v>
      </c>
      <c r="V7" s="204">
        <f>U7-R7</f>
        <v>3483.4049394404283</v>
      </c>
      <c r="W7" s="304">
        <f>V7/R7</f>
        <v>0.21207839647963384</v>
      </c>
      <c r="X7" s="204">
        <f>'FY 2016 by Agency'!X7*Inflator!$E$10</f>
        <v>21537.907907272151</v>
      </c>
      <c r="Y7" s="206">
        <f>X7-U7</f>
        <v>1629.4215014366091</v>
      </c>
      <c r="Z7" s="304">
        <f>Y7/U7</f>
        <v>8.1845574204927801E-2</v>
      </c>
      <c r="AA7" s="204">
        <f>'FY 2016 by Agency'!AA7*Inflator!$E$11</f>
        <v>23410.89136667729</v>
      </c>
      <c r="AB7" s="206">
        <f t="shared" ref="AB7:AB35" si="3">AA7-X7</f>
        <v>1872.983459405139</v>
      </c>
      <c r="AC7" s="304">
        <f t="shared" ref="AC7:AC35" si="4">AB7/X7</f>
        <v>8.6962181631983715E-2</v>
      </c>
      <c r="AD7" s="204">
        <f>'FY 2016 by Agency'!AD7*Inflator!$E$12</f>
        <v>22386.685150375943</v>
      </c>
      <c r="AE7" s="204">
        <f>'FY 2016 by Agency'!AE7*Inflator!$B$8</f>
        <v>0</v>
      </c>
      <c r="AF7" s="204">
        <f>'FY 2016 by Agency'!AF7*Inflator!$E$12</f>
        <v>21184.556390977446</v>
      </c>
      <c r="AG7" s="204">
        <f>AF7-AA7</f>
        <v>-2226.3349756998432</v>
      </c>
      <c r="AH7" s="304">
        <f>AG7/AA7</f>
        <v>-9.5098257508843723E-2</v>
      </c>
      <c r="AI7" s="204">
        <f>'FY 2016 by Agency'!AI7*Inflator!$B$8</f>
        <v>0</v>
      </c>
      <c r="AJ7" s="204">
        <f>'FY 2016 by Agency'!AJ7*Inflator!$B$8</f>
        <v>0</v>
      </c>
      <c r="AK7" s="204">
        <f>'FY 2016 by Agency'!AK7</f>
        <v>20211</v>
      </c>
      <c r="AL7" s="204">
        <f>'FY 2016 by Agency'!AL7</f>
        <v>0</v>
      </c>
      <c r="AM7" s="204">
        <f>'FY 2016 by Agency'!AM7</f>
        <v>20211</v>
      </c>
      <c r="AN7" s="204">
        <f>'FY 2016 by Agency'!AN7</f>
        <v>19175</v>
      </c>
      <c r="AO7" s="204">
        <f>'FY 2016 by Agency'!AO7</f>
        <v>19175</v>
      </c>
      <c r="AP7" s="204">
        <f>'FY 2016 by Agency'!AP7</f>
        <v>0</v>
      </c>
      <c r="AQ7" s="204">
        <f>'FY 2016 by Agency'!AQ7</f>
        <v>0</v>
      </c>
      <c r="AR7" s="204">
        <f>'FY 2016 by Agency'!AR7</f>
        <v>0</v>
      </c>
      <c r="AS7" s="204">
        <f>'FY 2016 by Agency'!AS7</f>
        <v>18265.161779999999</v>
      </c>
      <c r="AT7" s="204">
        <f>AR7-AD7</f>
        <v>-22386.685150375943</v>
      </c>
      <c r="AU7" s="304">
        <f>AT7/AD7</f>
        <v>-1</v>
      </c>
      <c r="AV7" s="204">
        <f>AS7-AF7</f>
        <v>-2919.3946109774479</v>
      </c>
      <c r="AW7" s="304">
        <f>AV7/AF7</f>
        <v>-0.13780768202542232</v>
      </c>
      <c r="AX7" s="305" t="s">
        <v>366</v>
      </c>
      <c r="AY7" s="207">
        <v>19434</v>
      </c>
      <c r="AZ7" s="207">
        <f>+AY7-AO7</f>
        <v>259</v>
      </c>
      <c r="BA7" s="207">
        <f>+AZ7+AV7</f>
        <v>-2660.3946109774479</v>
      </c>
      <c r="BB7" s="207">
        <f>+AZ7+AS7</f>
        <v>18524.161779999999</v>
      </c>
      <c r="BC7" s="304">
        <f>+BB7/AF7-1</f>
        <v>-0.12558179467522468</v>
      </c>
      <c r="BD7" s="306">
        <v>0</v>
      </c>
      <c r="BE7" s="199">
        <f t="shared" ref="BE7:BE39" si="5">BD7/AY7</f>
        <v>0</v>
      </c>
      <c r="BF7" s="66">
        <v>185</v>
      </c>
      <c r="BI7" s="200">
        <v>19225</v>
      </c>
      <c r="BJ7" s="207">
        <f>BI7-AY7</f>
        <v>-209</v>
      </c>
      <c r="BK7" s="200">
        <f>BI7+AP7+AQ7</f>
        <v>19225</v>
      </c>
      <c r="BL7" s="307">
        <f>'FY 2016 by Agency'!BB7*Inflator!$E$13</f>
        <v>20082.202591803478</v>
      </c>
      <c r="BM7" s="204">
        <f>BL7-AF7</f>
        <v>-1102.3537991739686</v>
      </c>
      <c r="BN7" s="199">
        <f>BM7/AF7</f>
        <v>-5.2035727292522573E-2</v>
      </c>
      <c r="BO7" s="204">
        <f>'FY 2016 by Agency'!AX7*Inflator!$E$13</f>
        <v>21137.526701251143</v>
      </c>
      <c r="BP7" s="204">
        <f>BO7-AF7</f>
        <v>-47.029689726303332</v>
      </c>
      <c r="BQ7" s="199">
        <f>BP7/AF7</f>
        <v>-2.2199987981024417E-3</v>
      </c>
      <c r="BR7" s="204">
        <f>'FY 2016 by Agency'!BE7*Inflator!$E$14</f>
        <v>19906.682359952323</v>
      </c>
      <c r="BS7" s="204">
        <f>BR7-BO7</f>
        <v>-1230.8443412988199</v>
      </c>
      <c r="BT7" s="199">
        <f>BS7/BO7</f>
        <v>-5.8230291495076643E-2</v>
      </c>
      <c r="BU7" s="204">
        <f>'FY 2016 by Agency'!BL7*Inflator!$E$14</f>
        <v>19906.682359952323</v>
      </c>
      <c r="BV7" s="204">
        <f>BU7-BL7</f>
        <v>-175.52023185115468</v>
      </c>
      <c r="BW7" s="206">
        <v>20194</v>
      </c>
      <c r="BX7" s="206">
        <f>'FY 2016 by Agency'!BW7*Inflator!E15</f>
        <v>22200.123749340368</v>
      </c>
      <c r="BY7" s="204">
        <f>'FY 2016 by Agency'!BZ7*Inflator!$E$15</f>
        <v>20423.337730870709</v>
      </c>
      <c r="BZ7" s="206">
        <f>BY7-BR7</f>
        <v>516.65537091838632</v>
      </c>
      <c r="CA7" s="199">
        <f>BZ7/BR7</f>
        <v>2.595386622322253E-2</v>
      </c>
      <c r="CB7" s="308">
        <f>'FY 2016 by Agency'!CF7*Inflator!$E$16</f>
        <v>20543.238521513136</v>
      </c>
      <c r="CC7" s="206">
        <f>CB7-BY7</f>
        <v>119.90079064242673</v>
      </c>
      <c r="CD7" s="304">
        <f>CC7/BY7</f>
        <v>5.8707735347876943E-3</v>
      </c>
      <c r="CE7" s="206">
        <f>'FY 2016 by Agency'!CK7*Inflator!$E$17</f>
        <v>22976.909889487109</v>
      </c>
      <c r="CF7" s="206">
        <f>CE7-CB7</f>
        <v>2433.6713679739732</v>
      </c>
      <c r="CG7" s="562">
        <f>CF7/CB7</f>
        <v>0.11846580885605754</v>
      </c>
      <c r="CH7" s="753">
        <f>'FY 2016 by Agency'!CN7*Inflator!$E$18</f>
        <v>22321</v>
      </c>
      <c r="CI7" s="753">
        <f>CH7-CE7</f>
        <v>-655.90988948710947</v>
      </c>
      <c r="CJ7" s="66">
        <f>CI7/CE7</f>
        <v>-2.854647960242972E-2</v>
      </c>
    </row>
    <row r="8" spans="1:88" ht="18" customHeight="1" x14ac:dyDescent="0.25">
      <c r="A8" s="68" t="s">
        <v>128</v>
      </c>
      <c r="B8" s="302">
        <f>'FY 2016 by Agency'!B8*Inflator!$E$2</f>
        <v>1506.9964114832535</v>
      </c>
      <c r="C8" s="302">
        <f>'FY 2016 by Agency'!C8*Inflator!$E$3</f>
        <v>1773.6561051004637</v>
      </c>
      <c r="D8" s="302">
        <f t="shared" ref="D8:D76" si="6">C8-B8</f>
        <v>266.65969361721022</v>
      </c>
      <c r="E8" s="303">
        <f t="shared" ref="E8:E76" si="7">(C8-B8)/B8</f>
        <v>0.17694779601681451</v>
      </c>
      <c r="F8" s="204">
        <f>'FY 2016 by Agency'!F8*Inflator!$E$4</f>
        <v>1759.6684430909784</v>
      </c>
      <c r="G8" s="204">
        <f t="shared" ref="G8:G76" si="8">F8-C8</f>
        <v>-13.987662009485348</v>
      </c>
      <c r="H8" s="199">
        <f t="shared" ref="H8:H76" si="9">(F8-C8)/C8</f>
        <v>-7.8863439024404649E-3</v>
      </c>
      <c r="I8" s="204">
        <f>'FY 2016 by Agency'!I8*Inflator!$E$5</f>
        <v>1914.7218296764597</v>
      </c>
      <c r="J8" s="204">
        <f t="shared" ref="J8:J76" si="10">I8-F8</f>
        <v>155.05338658548135</v>
      </c>
      <c r="K8" s="199">
        <f t="shared" ref="K8:K76" si="11">(I8-F8)/F8</f>
        <v>8.8115114636663841E-2</v>
      </c>
      <c r="L8" s="204">
        <f>'FY 2016 by Agency'!L8*Inflator!$E$6</f>
        <v>2036.5921483097056</v>
      </c>
      <c r="M8" s="204">
        <f t="shared" ref="M8:M76" si="12">L8-I8</f>
        <v>121.87031863324592</v>
      </c>
      <c r="N8" s="199">
        <f t="shared" ref="N8:N76" si="13">(L8-I8)/I8</f>
        <v>6.3649098654627534E-2</v>
      </c>
      <c r="O8" s="204">
        <f>'FY 2016 by Agency'!O8*Inflator!$E$7</f>
        <v>2109.0422386483629</v>
      </c>
      <c r="P8" s="204">
        <f t="shared" ref="P8:P35" si="14">O8-L8</f>
        <v>72.450090338657219</v>
      </c>
      <c r="Q8" s="304">
        <f t="shared" si="0"/>
        <v>3.5574177381950553E-2</v>
      </c>
      <c r="R8" s="204">
        <f>'FY 2016 by Agency'!R8*Inflator!$E$8</f>
        <v>2357.9714867617108</v>
      </c>
      <c r="S8" s="204">
        <f t="shared" si="1"/>
        <v>248.92924811334797</v>
      </c>
      <c r="T8" s="304">
        <f t="shared" si="2"/>
        <v>0.11802952238305149</v>
      </c>
      <c r="U8" s="204">
        <f>'FY 2016 by Agency'!U8*Inflator!$E$9</f>
        <v>2328.3312334217503</v>
      </c>
      <c r="V8" s="204">
        <f t="shared" ref="V8:V35" si="15">U8-R8</f>
        <v>-29.640253339960509</v>
      </c>
      <c r="W8" s="304">
        <f t="shared" ref="W8:W35" si="16">V8/R8</f>
        <v>-1.2570233994078767E-2</v>
      </c>
      <c r="X8" s="204">
        <f>'FY 2016 by Agency'!X8*Inflator!$E$10</f>
        <v>2767.753890123849</v>
      </c>
      <c r="Y8" s="206">
        <f t="shared" ref="Y8:Y34" si="17">X8-U8</f>
        <v>439.42265670209872</v>
      </c>
      <c r="Z8" s="304">
        <f>Y8/U8</f>
        <v>0.18872858397227127</v>
      </c>
      <c r="AA8" s="204">
        <f>'FY 2016 by Agency'!AA8*Inflator!$E$11</f>
        <v>4632.5925453966238</v>
      </c>
      <c r="AB8" s="206">
        <f t="shared" si="3"/>
        <v>1864.8386552727748</v>
      </c>
      <c r="AC8" s="304">
        <f t="shared" si="4"/>
        <v>0.67377329390704188</v>
      </c>
      <c r="AD8" s="204">
        <f>'FY 2016 by Agency'!AD8*Inflator!$E$12</f>
        <v>4649.3599624060153</v>
      </c>
      <c r="AE8" s="204">
        <f>'FY 2016 by Agency'!AE8*Inflator!$B$8</f>
        <v>0</v>
      </c>
      <c r="AF8" s="204">
        <f>'FY 2016 by Agency'!AF8*Inflator!$E$12</f>
        <v>4354.7537593984971</v>
      </c>
      <c r="AG8" s="204">
        <f t="shared" ref="AG8:AG35" si="18">AF8-AA8</f>
        <v>-277.8387859981267</v>
      </c>
      <c r="AH8" s="304">
        <f t="shared" ref="AH8:AH35" si="19">AG8/AA8</f>
        <v>-5.9974794518506326E-2</v>
      </c>
      <c r="AI8" s="204">
        <f>'FY 2016 by Agency'!AI8*Inflator!$B$8</f>
        <v>0</v>
      </c>
      <c r="AJ8" s="204">
        <f>'FY 2016 by Agency'!AJ8*Inflator!$B$8</f>
        <v>0</v>
      </c>
      <c r="AK8" s="204">
        <f>'FY 2016 by Agency'!AK8</f>
        <v>4151</v>
      </c>
      <c r="AL8" s="204">
        <f>'FY 2016 by Agency'!AL8</f>
        <v>0</v>
      </c>
      <c r="AM8" s="204">
        <f>'FY 2016 by Agency'!AM8</f>
        <v>4151</v>
      </c>
      <c r="AN8" s="204">
        <f>'FY 2016 by Agency'!AN8</f>
        <v>3968</v>
      </c>
      <c r="AO8" s="204">
        <f>'FY 2016 by Agency'!AO8</f>
        <v>3968</v>
      </c>
      <c r="AP8" s="204">
        <f>'FY 2016 by Agency'!AP8</f>
        <v>0</v>
      </c>
      <c r="AQ8" s="204">
        <f>'FY 2016 by Agency'!AQ8</f>
        <v>0</v>
      </c>
      <c r="AR8" s="204">
        <f>'FY 2016 by Agency'!AR8</f>
        <v>0</v>
      </c>
      <c r="AS8" s="204">
        <f>'FY 2016 by Agency'!AS8</f>
        <v>3435.5985900000001</v>
      </c>
      <c r="AT8" s="204">
        <f t="shared" ref="AT8:AT48" si="20">AR8-AD8</f>
        <v>-4649.3599624060153</v>
      </c>
      <c r="AU8" s="304">
        <f t="shared" ref="AU8:AU48" si="21">AT8/AD8</f>
        <v>-1</v>
      </c>
      <c r="AV8" s="204">
        <f t="shared" ref="AV8:AV48" si="22">AS8-AF8</f>
        <v>-919.15516939849704</v>
      </c>
      <c r="AW8" s="304">
        <f t="shared" ref="AW8:AW48" si="23">AV8/AF8</f>
        <v>-0.21106937847283835</v>
      </c>
      <c r="AX8" s="305" t="s">
        <v>367</v>
      </c>
      <c r="AY8" s="207">
        <v>4083.875</v>
      </c>
      <c r="AZ8" s="207">
        <f t="shared" ref="AZ8:AZ39" si="24">+AY8-AO8</f>
        <v>115.875</v>
      </c>
      <c r="BA8" s="207">
        <f t="shared" ref="BA8:BA39" si="25">+AZ8+AV8</f>
        <v>-803.28016939849704</v>
      </c>
      <c r="BB8" s="207">
        <f t="shared" ref="BB8:BB37" si="26">+AZ8+AS8</f>
        <v>3551.4735900000001</v>
      </c>
      <c r="BC8" s="304">
        <f t="shared" ref="BC8:BC37" si="27">+BB8/AF8-1</f>
        <v>-0.18446052607793162</v>
      </c>
      <c r="BD8" s="306">
        <v>0</v>
      </c>
      <c r="BE8" s="199">
        <f t="shared" si="5"/>
        <v>0</v>
      </c>
      <c r="BF8" s="66">
        <v>187</v>
      </c>
      <c r="BI8" s="200">
        <v>3840</v>
      </c>
      <c r="BJ8" s="207">
        <f t="shared" ref="BJ8:BJ48" si="28">BI8-AY8</f>
        <v>-243.875</v>
      </c>
      <c r="BK8" s="200">
        <f t="shared" ref="BK8:BK39" si="29">BI8+AP8+AQ8</f>
        <v>3840</v>
      </c>
      <c r="BL8" s="307">
        <f>'FY 2016 by Agency'!BB8*Inflator!$E$13</f>
        <v>3777.3761732590783</v>
      </c>
      <c r="BM8" s="204">
        <f t="shared" ref="BM8:BM48" si="30">BL8-AF8</f>
        <v>-577.37758613941878</v>
      </c>
      <c r="BN8" s="199">
        <f t="shared" ref="BN8:BN48" si="31">BM8/AF8</f>
        <v>-0.13258558762210459</v>
      </c>
      <c r="BO8" s="204">
        <f>'FY 2016 by Agency'!AX8*Inflator!$E$13</f>
        <v>4222.0079340860539</v>
      </c>
      <c r="BP8" s="204">
        <f t="shared" ref="BP8:BP79" si="32">BO8-AF8</f>
        <v>-132.74582531244323</v>
      </c>
      <c r="BQ8" s="199">
        <f t="shared" ref="BQ8:BQ79" si="33">BP8/AF8</f>
        <v>-3.0482969335740084E-2</v>
      </c>
      <c r="BR8" s="204">
        <f>'FY 2016 by Agency'!BE8*Inflator!$E$14</f>
        <v>3608.3679976162093</v>
      </c>
      <c r="BS8" s="204">
        <f t="shared" ref="BS8:BS79" si="34">BR8-BO8</f>
        <v>-613.63993646984454</v>
      </c>
      <c r="BT8" s="199">
        <f t="shared" ref="BT8:BT79" si="35">BS8/BO8</f>
        <v>-0.14534315094854988</v>
      </c>
      <c r="BU8" s="204">
        <f>'FY 2016 by Agency'!BL8*Inflator!$E$14</f>
        <v>3609.4415971394515</v>
      </c>
      <c r="BV8" s="204">
        <f t="shared" ref="BV8:BV48" si="36">BU8-BL8</f>
        <v>-167.93457611962685</v>
      </c>
      <c r="BW8" s="206">
        <v>3751</v>
      </c>
      <c r="BX8" s="206">
        <f>'FY 2016 by Agency'!BW8*Inflator!E15</f>
        <v>4564.139068601582</v>
      </c>
      <c r="BY8" s="204">
        <f>'FY 2016 by Agency'!BZ8*Inflator!$E$15</f>
        <v>4349.7959542656108</v>
      </c>
      <c r="BZ8" s="206">
        <f t="shared" ref="BZ8:BZ78" si="37">BW8-BR8</f>
        <v>142.63200238379068</v>
      </c>
      <c r="CA8" s="199">
        <f t="shared" ref="CA8:CA78" si="38">BZ8/BR8</f>
        <v>3.9528119769939606E-2</v>
      </c>
      <c r="CB8" s="308">
        <f>'FY 2016 by Agency'!CF8*Inflator!$E$16</f>
        <v>3915.128212532486</v>
      </c>
      <c r="CC8" s="206">
        <f t="shared" ref="CC8:CC48" si="39">CB8-BY8</f>
        <v>-434.66774173312479</v>
      </c>
      <c r="CD8" s="304">
        <f t="shared" ref="CD8:CD48" si="40">CC8/BY8</f>
        <v>-9.9928306132812852E-2</v>
      </c>
      <c r="CE8" s="206">
        <f>'FY 2016 by Agency'!CK8*Inflator!$E$17</f>
        <v>4329.9300085009927</v>
      </c>
      <c r="CF8" s="206">
        <f t="shared" ref="CF8:CF42" si="41">CE8-CB8</f>
        <v>414.80179596850667</v>
      </c>
      <c r="CG8" s="562">
        <f t="shared" ref="CG8:CG48" si="42">CF8/CB8</f>
        <v>0.10594845773906181</v>
      </c>
      <c r="CH8" s="753">
        <f>'FY 2016 by Agency'!CN8*Inflator!$E$18</f>
        <v>4340</v>
      </c>
      <c r="CI8" s="753">
        <f t="shared" ref="CI8:CI48" si="43">CH8-CE8</f>
        <v>10.069991499007301</v>
      </c>
      <c r="CJ8" s="66">
        <f t="shared" ref="CJ8:CJ48" si="44">CI8/CE8</f>
        <v>2.325670733530748E-3</v>
      </c>
    </row>
    <row r="9" spans="1:88" ht="18" customHeight="1" x14ac:dyDescent="0.25">
      <c r="A9" s="68" t="s">
        <v>129</v>
      </c>
      <c r="B9" s="302">
        <f>'FY 2016 by Agency'!B9*Inflator!$E$2</f>
        <v>666.58373205741623</v>
      </c>
      <c r="C9" s="302">
        <f>'FY 2016 by Agency'!C9*Inflator!$E$3</f>
        <v>825.57148377125202</v>
      </c>
      <c r="D9" s="302">
        <f t="shared" si="6"/>
        <v>158.98775171383579</v>
      </c>
      <c r="E9" s="303">
        <f t="shared" si="7"/>
        <v>0.23851129883280947</v>
      </c>
      <c r="F9" s="204">
        <f>'FY 2016 by Agency'!F9*Inflator!$E$4</f>
        <v>714.56528359345259</v>
      </c>
      <c r="G9" s="204">
        <f t="shared" si="8"/>
        <v>-111.00620017779943</v>
      </c>
      <c r="H9" s="199">
        <f t="shared" si="9"/>
        <v>-0.13445982856713695</v>
      </c>
      <c r="I9" s="204">
        <f>'FY 2016 by Agency'!I9*Inflator!$E$5</f>
        <v>1129.5384901450354</v>
      </c>
      <c r="J9" s="204">
        <f t="shared" si="10"/>
        <v>414.97320655158285</v>
      </c>
      <c r="K9" s="199">
        <f t="shared" si="11"/>
        <v>0.58073519114270211</v>
      </c>
      <c r="L9" s="204">
        <f>'FY 2016 by Agency'!L9*Inflator!$E$6</f>
        <v>1020.2606324972737</v>
      </c>
      <c r="M9" s="204">
        <f t="shared" si="12"/>
        <v>-109.27785764776172</v>
      </c>
      <c r="N9" s="199">
        <f t="shared" si="13"/>
        <v>-9.6745581138833248E-2</v>
      </c>
      <c r="O9" s="204">
        <f>'FY 2016 by Agency'!O9*Inflator!$E$7</f>
        <v>1132.5163674762407</v>
      </c>
      <c r="P9" s="204">
        <f t="shared" si="14"/>
        <v>112.25573497896698</v>
      </c>
      <c r="Q9" s="304">
        <f t="shared" si="0"/>
        <v>0.11002652793159394</v>
      </c>
      <c r="R9" s="204">
        <f>'FY 2016 by Agency'!R9*Inflator!$E$8</f>
        <v>1169.2016293279023</v>
      </c>
      <c r="S9" s="204">
        <f t="shared" si="1"/>
        <v>36.685261851661608</v>
      </c>
      <c r="T9" s="304">
        <f t="shared" si="2"/>
        <v>3.2392699041880503E-2</v>
      </c>
      <c r="U9" s="204">
        <f>'FY 2016 by Agency'!U9*Inflator!$E$9</f>
        <v>1054.8570954907161</v>
      </c>
      <c r="V9" s="204">
        <f t="shared" si="15"/>
        <v>-114.34453383718619</v>
      </c>
      <c r="W9" s="304">
        <f t="shared" si="16"/>
        <v>-9.7797104424936013E-2</v>
      </c>
      <c r="X9" s="204">
        <f>'FY 2016 by Agency'!X9*Inflator!$E$10</f>
        <v>1081.2432518259766</v>
      </c>
      <c r="Y9" s="206">
        <f t="shared" si="17"/>
        <v>26.386156335260466</v>
      </c>
      <c r="Z9" s="304">
        <f>Y9/U9</f>
        <v>2.5013962979493171E-2</v>
      </c>
      <c r="AA9" s="204">
        <f>'FY 2016 by Agency'!AA9*Inflator!$E$11</f>
        <v>1253.4170117871936</v>
      </c>
      <c r="AB9" s="206">
        <f t="shared" si="3"/>
        <v>172.173759961217</v>
      </c>
      <c r="AC9" s="304">
        <f t="shared" si="4"/>
        <v>0.15923684117376385</v>
      </c>
      <c r="AD9" s="204">
        <f>'FY 2016 by Agency'!AD9*Inflator!$E$12</f>
        <v>1129.8881578947369</v>
      </c>
      <c r="AE9" s="204">
        <f>'FY 2016 by Agency'!AE9*Inflator!$B$8</f>
        <v>0</v>
      </c>
      <c r="AF9" s="204">
        <f>'FY 2016 by Agency'!AF9*Inflator!$E$12</f>
        <v>1038.4586466165415</v>
      </c>
      <c r="AG9" s="204">
        <f t="shared" si="18"/>
        <v>-214.95836517065209</v>
      </c>
      <c r="AH9" s="304">
        <f t="shared" si="19"/>
        <v>-0.17149788390389897</v>
      </c>
      <c r="AI9" s="204">
        <f>'FY 2016 by Agency'!AI9*Inflator!$B$8</f>
        <v>0</v>
      </c>
      <c r="AJ9" s="204">
        <f>'FY 2016 by Agency'!AJ9*Inflator!$B$8</f>
        <v>0</v>
      </c>
      <c r="AK9" s="204">
        <f>'FY 2016 by Agency'!AK9</f>
        <v>1023</v>
      </c>
      <c r="AL9" s="204">
        <f>'FY 2016 by Agency'!AL9</f>
        <v>0</v>
      </c>
      <c r="AM9" s="204">
        <f>'FY 2016 by Agency'!AM9</f>
        <v>1023</v>
      </c>
      <c r="AN9" s="204">
        <f>'FY 2016 by Agency'!AN9</f>
        <v>962</v>
      </c>
      <c r="AO9" s="204">
        <f>'FY 2016 by Agency'!AO9</f>
        <v>962</v>
      </c>
      <c r="AP9" s="204">
        <f>'FY 2016 by Agency'!AP9</f>
        <v>0</v>
      </c>
      <c r="AQ9" s="204">
        <f>'FY 2016 by Agency'!AQ9</f>
        <v>0</v>
      </c>
      <c r="AR9" s="204">
        <f>'FY 2016 by Agency'!AR9</f>
        <v>0</v>
      </c>
      <c r="AS9" s="204">
        <f>'FY 2016 by Agency'!AS9</f>
        <v>833.00954999999999</v>
      </c>
      <c r="AT9" s="204">
        <f t="shared" si="20"/>
        <v>-1129.8881578947369</v>
      </c>
      <c r="AU9" s="304">
        <f t="shared" si="21"/>
        <v>-1</v>
      </c>
      <c r="AV9" s="204">
        <f t="shared" si="22"/>
        <v>-205.44909661654151</v>
      </c>
      <c r="AW9" s="304">
        <f t="shared" si="23"/>
        <v>-0.19784042174999109</v>
      </c>
      <c r="AX9" s="305" t="s">
        <v>368</v>
      </c>
      <c r="AY9" s="207">
        <v>968</v>
      </c>
      <c r="AZ9" s="207">
        <f t="shared" si="24"/>
        <v>6</v>
      </c>
      <c r="BA9" s="207">
        <f t="shared" si="25"/>
        <v>-199.44909661654151</v>
      </c>
      <c r="BB9" s="207">
        <f t="shared" si="26"/>
        <v>839.00954999999999</v>
      </c>
      <c r="BC9" s="304">
        <f t="shared" si="27"/>
        <v>-0.19206262788256179</v>
      </c>
      <c r="BD9" s="306">
        <v>0</v>
      </c>
      <c r="BE9" s="199">
        <f t="shared" si="5"/>
        <v>0</v>
      </c>
      <c r="BF9" s="66">
        <v>76</v>
      </c>
      <c r="BI9" s="200">
        <v>889</v>
      </c>
      <c r="BJ9" s="207">
        <f t="shared" si="28"/>
        <v>-79</v>
      </c>
      <c r="BK9" s="200">
        <f t="shared" si="29"/>
        <v>889</v>
      </c>
      <c r="BL9" s="307">
        <f>'FY 2016 by Agency'!BB9*Inflator!$E$13</f>
        <v>915.87836699725358</v>
      </c>
      <c r="BM9" s="204">
        <f t="shared" si="30"/>
        <v>-122.58027961928792</v>
      </c>
      <c r="BN9" s="199">
        <f t="shared" si="31"/>
        <v>-0.11804059797534874</v>
      </c>
      <c r="BO9" s="204">
        <f>'FY 2016 by Agency'!AX9*Inflator!$E$13</f>
        <v>977.43881599023496</v>
      </c>
      <c r="BP9" s="204">
        <f t="shared" si="32"/>
        <v>-61.019830626306543</v>
      </c>
      <c r="BQ9" s="199">
        <f t="shared" si="33"/>
        <v>-5.8760000530708241E-2</v>
      </c>
      <c r="BR9" s="204">
        <f>'FY 2016 by Agency'!BE9*Inflator!$E$14</f>
        <v>798.75804529201423</v>
      </c>
      <c r="BS9" s="204">
        <f t="shared" si="34"/>
        <v>-178.68077069822073</v>
      </c>
      <c r="BT9" s="199">
        <f t="shared" si="35"/>
        <v>-0.18280506950933881</v>
      </c>
      <c r="BU9" s="204">
        <f>'FY 2016 by Agency'!BL9*Inflator!$E$14</f>
        <v>798.75804529201423</v>
      </c>
      <c r="BV9" s="204">
        <f t="shared" si="36"/>
        <v>-117.12032170523935</v>
      </c>
      <c r="BW9" s="206">
        <v>894</v>
      </c>
      <c r="BX9" s="206">
        <f>'FY 2016 by Agency'!BW9*Inflator!E15</f>
        <v>944.5859718557607</v>
      </c>
      <c r="BY9" s="204">
        <f>'FY 2016 by Agency'!BZ9*Inflator!$E$15</f>
        <v>824.96130167106412</v>
      </c>
      <c r="BZ9" s="206">
        <f t="shared" si="37"/>
        <v>95.241954707985769</v>
      </c>
      <c r="CA9" s="199">
        <f t="shared" si="38"/>
        <v>0.11923755293527805</v>
      </c>
      <c r="CB9" s="308">
        <f>'FY 2016 by Agency'!CF9*Inflator!$E$16</f>
        <v>895.80796996823551</v>
      </c>
      <c r="CC9" s="206">
        <f t="shared" si="39"/>
        <v>70.846668297171391</v>
      </c>
      <c r="CD9" s="304">
        <f t="shared" si="40"/>
        <v>8.5878777772560297E-2</v>
      </c>
      <c r="CE9" s="206">
        <f>'FY 2016 by Agency'!CK9*Inflator!$E$17</f>
        <v>943.37546047038836</v>
      </c>
      <c r="CF9" s="206">
        <f t="shared" si="41"/>
        <v>47.56749050215285</v>
      </c>
      <c r="CG9" s="562">
        <f t="shared" si="42"/>
        <v>5.3100097450393915E-2</v>
      </c>
      <c r="CH9" s="753">
        <f>'FY 2016 by Agency'!CN9*Inflator!$E$18</f>
        <v>927</v>
      </c>
      <c r="CI9" s="753">
        <f t="shared" si="43"/>
        <v>-16.375460470388362</v>
      </c>
      <c r="CJ9" s="66">
        <f t="shared" si="44"/>
        <v>-1.7358370189344535E-2</v>
      </c>
    </row>
    <row r="10" spans="1:88" ht="18" customHeight="1" x14ac:dyDescent="0.25">
      <c r="A10" s="68" t="s">
        <v>130</v>
      </c>
      <c r="B10" s="302">
        <f>'FY 2016 by Agency'!B10*Inflator!$E$2</f>
        <v>7523.4892344497603</v>
      </c>
      <c r="C10" s="302">
        <f>'FY 2016 by Agency'!C10*Inflator!$E$3</f>
        <v>8607.9401081916549</v>
      </c>
      <c r="D10" s="302">
        <f t="shared" si="6"/>
        <v>1084.4508737418946</v>
      </c>
      <c r="E10" s="303">
        <f t="shared" si="7"/>
        <v>0.14414201176446653</v>
      </c>
      <c r="F10" s="204">
        <f>'FY 2016 by Agency'!F10*Inflator!$E$4</f>
        <v>9743.3239436619715</v>
      </c>
      <c r="G10" s="204">
        <f t="shared" si="8"/>
        <v>1135.3838354703166</v>
      </c>
      <c r="H10" s="199">
        <f t="shared" si="9"/>
        <v>0.13189959748788688</v>
      </c>
      <c r="I10" s="204">
        <f>'FY 2016 by Agency'!I10*Inflator!$E$5</f>
        <v>7812.9761993306065</v>
      </c>
      <c r="J10" s="204">
        <f t="shared" si="10"/>
        <v>-1930.347744331365</v>
      </c>
      <c r="K10" s="199">
        <f t="shared" si="11"/>
        <v>-0.19812004152720955</v>
      </c>
      <c r="L10" s="204">
        <f>'FY 2016 by Agency'!L10*Inflator!$E$6</f>
        <v>8075.6444929116687</v>
      </c>
      <c r="M10" s="204">
        <f t="shared" si="12"/>
        <v>262.66829358106224</v>
      </c>
      <c r="N10" s="199">
        <f t="shared" si="13"/>
        <v>3.3619492352167525E-2</v>
      </c>
      <c r="O10" s="204">
        <f>'FY 2016 by Agency'!O10*Inflator!$E$7</f>
        <v>7658.7529039070741</v>
      </c>
      <c r="P10" s="204">
        <f t="shared" si="14"/>
        <v>-416.89158900459461</v>
      </c>
      <c r="Q10" s="304">
        <f t="shared" si="0"/>
        <v>-5.162332113189453E-2</v>
      </c>
      <c r="R10" s="204">
        <f>'FY 2016 by Agency'!R10*Inflator!$E$8</f>
        <v>12614.169042769858</v>
      </c>
      <c r="S10" s="204">
        <f t="shared" si="1"/>
        <v>4955.4161388627836</v>
      </c>
      <c r="T10" s="304">
        <f t="shared" si="2"/>
        <v>0.64702650693101782</v>
      </c>
      <c r="U10" s="204">
        <f>'FY 2016 by Agency'!U10*Inflator!$E$9</f>
        <v>15106.079244031829</v>
      </c>
      <c r="V10" s="204">
        <f t="shared" si="15"/>
        <v>2491.9102012619715</v>
      </c>
      <c r="W10" s="304">
        <f t="shared" si="16"/>
        <v>0.19754850222894985</v>
      </c>
      <c r="X10" s="204">
        <f>'FY 2016 by Agency'!X10*Inflator!$E$10</f>
        <v>11300.994283899652</v>
      </c>
      <c r="Y10" s="206">
        <f t="shared" si="17"/>
        <v>-3805.084960132177</v>
      </c>
      <c r="Z10" s="304">
        <f>Y10/U10</f>
        <v>-0.2518909704273864</v>
      </c>
      <c r="AA10" s="204">
        <f>'FY 2016 by Agency'!AA10*Inflator!$E$11</f>
        <v>11006.424657534248</v>
      </c>
      <c r="AB10" s="206">
        <f t="shared" si="3"/>
        <v>-294.56962636540447</v>
      </c>
      <c r="AC10" s="304">
        <f t="shared" si="4"/>
        <v>-2.6065815004001298E-2</v>
      </c>
      <c r="AD10" s="204">
        <f>'FY 2016 by Agency'!AD10*Inflator!$E$12</f>
        <v>9938.7265037593988</v>
      </c>
      <c r="AE10" s="204">
        <f>'FY 2016 by Agency'!AE10*Inflator!$B$8</f>
        <v>0</v>
      </c>
      <c r="AF10" s="204">
        <f>'FY 2016 by Agency'!AF10*Inflator!$E$12</f>
        <v>8314.4417293233091</v>
      </c>
      <c r="AG10" s="204">
        <f t="shared" si="18"/>
        <v>-2691.9829282109386</v>
      </c>
      <c r="AH10" s="304">
        <f t="shared" si="19"/>
        <v>-0.24458286973037976</v>
      </c>
      <c r="AI10" s="204">
        <f>'FY 2016 by Agency'!AI10*Inflator!$B$8</f>
        <v>0</v>
      </c>
      <c r="AJ10" s="204">
        <f>'FY 2016 by Agency'!AJ10*Inflator!$B$8</f>
        <v>0</v>
      </c>
      <c r="AK10" s="204">
        <f>'FY 2016 by Agency'!AK10</f>
        <v>5451</v>
      </c>
      <c r="AL10" s="204">
        <f>'FY 2016 by Agency'!AL10</f>
        <v>0</v>
      </c>
      <c r="AM10" s="204">
        <f>'FY 2016 by Agency'!AM10</f>
        <v>5451</v>
      </c>
      <c r="AN10" s="204">
        <f>'FY 2016 by Agency'!AN10</f>
        <v>4544</v>
      </c>
      <c r="AO10" s="204">
        <f>'FY 2016 by Agency'!AO10</f>
        <v>4544</v>
      </c>
      <c r="AP10" s="204">
        <f>'FY 2016 by Agency'!AP10</f>
        <v>6</v>
      </c>
      <c r="AQ10" s="204">
        <f>'FY 2016 by Agency'!AQ10</f>
        <v>89</v>
      </c>
      <c r="AR10" s="204">
        <f>'FY 2016 by Agency'!AR10</f>
        <v>95</v>
      </c>
      <c r="AS10" s="204">
        <f>'FY 2016 by Agency'!AS10</f>
        <v>8105.1669300000003</v>
      </c>
      <c r="AT10" s="204">
        <f t="shared" si="20"/>
        <v>-9843.7265037593988</v>
      </c>
      <c r="AU10" s="304">
        <f t="shared" si="21"/>
        <v>-0.99044143130771678</v>
      </c>
      <c r="AV10" s="204">
        <f t="shared" si="22"/>
        <v>-209.2747993233088</v>
      </c>
      <c r="AW10" s="304">
        <f t="shared" si="23"/>
        <v>-2.5170036201617729E-2</v>
      </c>
      <c r="AX10" s="305" t="s">
        <v>369</v>
      </c>
      <c r="AY10" s="207">
        <v>4544</v>
      </c>
      <c r="AZ10" s="207">
        <f t="shared" si="24"/>
        <v>0</v>
      </c>
      <c r="BA10" s="207">
        <f t="shared" si="25"/>
        <v>-209.2747993233088</v>
      </c>
      <c r="BB10" s="207">
        <f t="shared" si="26"/>
        <v>8105.1669300000003</v>
      </c>
      <c r="BC10" s="304">
        <f t="shared" si="27"/>
        <v>-2.5170036201617729E-2</v>
      </c>
      <c r="BD10" s="306">
        <v>48.789000000000001</v>
      </c>
      <c r="BE10" s="199">
        <f t="shared" si="5"/>
        <v>1.0737015845070422E-2</v>
      </c>
      <c r="BI10" s="200">
        <v>8681</v>
      </c>
      <c r="BJ10" s="207">
        <f t="shared" si="28"/>
        <v>4137</v>
      </c>
      <c r="BK10" s="200">
        <f t="shared" si="29"/>
        <v>8776</v>
      </c>
      <c r="BL10" s="307">
        <f>'FY 2016 by Agency'!BB10*Inflator!$E$13</f>
        <v>8807.0282114098263</v>
      </c>
      <c r="BM10" s="204">
        <f t="shared" si="30"/>
        <v>492.58648208651721</v>
      </c>
      <c r="BN10" s="199">
        <f t="shared" si="31"/>
        <v>5.9244685106068756E-2</v>
      </c>
      <c r="BO10" s="204">
        <f>'FY 2016 by Agency'!AX10*Inflator!$E$13</f>
        <v>9544.5965822398539</v>
      </c>
      <c r="BP10" s="204">
        <f t="shared" si="32"/>
        <v>1230.1548529165448</v>
      </c>
      <c r="BQ10" s="199">
        <f t="shared" si="33"/>
        <v>0.14795399293954326</v>
      </c>
      <c r="BR10" s="204">
        <f>'FY 2016 by Agency'!BE10*Inflator!$E$14</f>
        <v>8586.6489868891531</v>
      </c>
      <c r="BS10" s="204">
        <f t="shared" si="34"/>
        <v>-957.94759535070079</v>
      </c>
      <c r="BT10" s="199">
        <f t="shared" si="35"/>
        <v>-0.10036543578313259</v>
      </c>
      <c r="BU10" s="204">
        <f>'FY 2016 by Agency'!BL10*Inflator!$E$14</f>
        <v>8673.6105482717521</v>
      </c>
      <c r="BV10" s="204">
        <f t="shared" si="36"/>
        <v>-133.4176631380742</v>
      </c>
      <c r="BW10" s="309">
        <v>8435</v>
      </c>
      <c r="BX10" s="206">
        <f>'FY 2016 by Agency'!BW10*Inflator!E15</f>
        <v>9256.4344494283196</v>
      </c>
      <c r="BY10" s="204">
        <f>'FY 2016 by Agency'!BZ10*Inflator!$E$15</f>
        <v>8753.4626209322778</v>
      </c>
      <c r="BZ10" s="206">
        <f t="shared" si="37"/>
        <v>-151.64898688915309</v>
      </c>
      <c r="CA10" s="199">
        <f t="shared" si="38"/>
        <v>-1.7661020861654417E-2</v>
      </c>
      <c r="CB10" s="308">
        <f>'FY 2016 by Agency'!CF10*Inflator!$E$16</f>
        <v>8617.8599480219455</v>
      </c>
      <c r="CC10" s="206">
        <f t="shared" si="39"/>
        <v>-135.60267291033233</v>
      </c>
      <c r="CD10" s="304">
        <f t="shared" si="40"/>
        <v>-1.5491317982676223E-2</v>
      </c>
      <c r="CE10" s="206">
        <f>'FY 2016 by Agency'!CK10*Inflator!$E$17</f>
        <v>9517.4740719750644</v>
      </c>
      <c r="CF10" s="206">
        <f t="shared" si="41"/>
        <v>899.61412395311891</v>
      </c>
      <c r="CG10" s="562">
        <f t="shared" si="42"/>
        <v>0.10438950381870699</v>
      </c>
      <c r="CH10" s="753">
        <f>'FY 2016 by Agency'!CN10*Inflator!$E$18</f>
        <v>7745</v>
      </c>
      <c r="CI10" s="753">
        <f t="shared" si="43"/>
        <v>-1772.4740719750644</v>
      </c>
      <c r="CJ10" s="66">
        <f t="shared" si="44"/>
        <v>-0.18623366437049205</v>
      </c>
    </row>
    <row r="11" spans="1:88" ht="18" customHeight="1" x14ac:dyDescent="0.25">
      <c r="A11" s="68" t="s">
        <v>370</v>
      </c>
      <c r="B11" s="310" t="s">
        <v>132</v>
      </c>
      <c r="C11" s="310" t="s">
        <v>132</v>
      </c>
      <c r="D11" s="310" t="s">
        <v>132</v>
      </c>
      <c r="E11" s="310" t="s">
        <v>132</v>
      </c>
      <c r="F11" s="310" t="s">
        <v>132</v>
      </c>
      <c r="G11" s="310" t="s">
        <v>132</v>
      </c>
      <c r="H11" s="310" t="s">
        <v>132</v>
      </c>
      <c r="I11" s="310" t="s">
        <v>132</v>
      </c>
      <c r="J11" s="310" t="s">
        <v>132</v>
      </c>
      <c r="K11" s="310" t="s">
        <v>132</v>
      </c>
      <c r="L11" s="310" t="s">
        <v>132</v>
      </c>
      <c r="M11" s="310" t="s">
        <v>132</v>
      </c>
      <c r="N11" s="310" t="s">
        <v>132</v>
      </c>
      <c r="O11" s="310" t="s">
        <v>132</v>
      </c>
      <c r="P11" s="310" t="s">
        <v>132</v>
      </c>
      <c r="Q11" s="310" t="s">
        <v>132</v>
      </c>
      <c r="R11" s="310" t="s">
        <v>132</v>
      </c>
      <c r="S11" s="310" t="s">
        <v>132</v>
      </c>
      <c r="T11" s="310" t="s">
        <v>132</v>
      </c>
      <c r="U11" s="310" t="s">
        <v>132</v>
      </c>
      <c r="V11" s="310" t="s">
        <v>132</v>
      </c>
      <c r="W11" s="310" t="s">
        <v>132</v>
      </c>
      <c r="X11" s="204">
        <f>'FY 2016 by Agency'!X11*Inflator!$E$10</f>
        <v>0</v>
      </c>
      <c r="Y11" s="310" t="s">
        <v>132</v>
      </c>
      <c r="Z11" s="311"/>
      <c r="AA11" s="204">
        <f>'FY 2016 by Agency'!AA11*Inflator!$E$11</f>
        <v>0</v>
      </c>
      <c r="AB11" s="206">
        <f t="shared" si="3"/>
        <v>0</v>
      </c>
      <c r="AC11" s="304" t="e">
        <f t="shared" si="4"/>
        <v>#DIV/0!</v>
      </c>
      <c r="AD11" s="204">
        <f>'FY 2016 by Agency'!AD11*Inflator!$E$12</f>
        <v>0</v>
      </c>
      <c r="AE11" s="204">
        <f>'FY 2016 by Agency'!AE11*Inflator!$B$8</f>
        <v>0</v>
      </c>
      <c r="AF11" s="204">
        <f>'FY 2016 by Agency'!AF11*Inflator!$E$12</f>
        <v>0</v>
      </c>
      <c r="AG11" s="204">
        <f t="shared" si="18"/>
        <v>0</v>
      </c>
      <c r="AH11" s="304" t="e">
        <f t="shared" si="19"/>
        <v>#DIV/0!</v>
      </c>
      <c r="AI11" s="204">
        <f>'FY 2016 by Agency'!AI11*Inflator!$B$8</f>
        <v>0</v>
      </c>
      <c r="AJ11" s="204">
        <f>'FY 2016 by Agency'!AJ11*Inflator!$B$8</f>
        <v>0</v>
      </c>
      <c r="AK11" s="204">
        <f>'FY 2016 by Agency'!AK11</f>
        <v>3017</v>
      </c>
      <c r="AL11" s="204">
        <f>'FY 2016 by Agency'!AL11</f>
        <v>0</v>
      </c>
      <c r="AM11" s="204">
        <f>'FY 2016 by Agency'!AM11</f>
        <v>3017</v>
      </c>
      <c r="AN11" s="204">
        <f>'FY 2016 by Agency'!AN11</f>
        <v>2676</v>
      </c>
      <c r="AO11" s="204">
        <f>'FY 2016 by Agency'!AO11</f>
        <v>2676</v>
      </c>
      <c r="AP11" s="204">
        <f>'FY 2016 by Agency'!AP11</f>
        <v>13</v>
      </c>
      <c r="AQ11" s="204">
        <f>'FY 2016 by Agency'!AQ11</f>
        <v>8</v>
      </c>
      <c r="AR11" s="204">
        <f>'FY 2016 by Agency'!AR11</f>
        <v>21</v>
      </c>
      <c r="AS11" s="204">
        <f>'FY 2016 by Agency'!AS11</f>
        <v>21</v>
      </c>
      <c r="AT11" s="204">
        <f t="shared" si="20"/>
        <v>21</v>
      </c>
      <c r="AU11" s="304" t="e">
        <f t="shared" si="21"/>
        <v>#DIV/0!</v>
      </c>
      <c r="AV11" s="204">
        <f t="shared" si="22"/>
        <v>21</v>
      </c>
      <c r="AW11" s="304" t="e">
        <f t="shared" si="23"/>
        <v>#DIV/0!</v>
      </c>
      <c r="AX11" s="305" t="s">
        <v>371</v>
      </c>
      <c r="AY11" s="207">
        <v>2231.75</v>
      </c>
      <c r="AZ11" s="207">
        <f t="shared" si="24"/>
        <v>-444.25</v>
      </c>
      <c r="BA11" s="207">
        <f t="shared" si="25"/>
        <v>-423.25</v>
      </c>
      <c r="BB11" s="207">
        <f t="shared" si="26"/>
        <v>-423.25</v>
      </c>
      <c r="BC11" s="304" t="e">
        <f t="shared" si="27"/>
        <v>#DIV/0!</v>
      </c>
      <c r="BD11" s="306">
        <v>20.716000000000001</v>
      </c>
      <c r="BE11" s="199">
        <f t="shared" si="5"/>
        <v>9.2824017026996754E-3</v>
      </c>
      <c r="BI11" s="200">
        <v>0</v>
      </c>
      <c r="BJ11" s="207">
        <f t="shared" si="28"/>
        <v>-2231.75</v>
      </c>
      <c r="BK11" s="200">
        <f t="shared" si="29"/>
        <v>21</v>
      </c>
      <c r="BL11" s="307">
        <f>'FY 2016 by Agency'!BB11*Inflator!$E$13</f>
        <v>0</v>
      </c>
      <c r="BM11" s="204">
        <f t="shared" si="30"/>
        <v>0</v>
      </c>
      <c r="BN11" s="199" t="e">
        <f t="shared" si="31"/>
        <v>#DIV/0!</v>
      </c>
      <c r="BO11" s="204">
        <f>'FY 2016 by Agency'!AX11*Inflator!$E$13</f>
        <v>0</v>
      </c>
      <c r="BP11" s="204">
        <f t="shared" si="32"/>
        <v>0</v>
      </c>
      <c r="BQ11" s="199" t="e">
        <f t="shared" si="33"/>
        <v>#DIV/0!</v>
      </c>
      <c r="BR11" s="204">
        <f>'FY 2016 by Agency'!BE11*Inflator!$E$14</f>
        <v>0</v>
      </c>
      <c r="BS11" s="204">
        <f t="shared" si="34"/>
        <v>0</v>
      </c>
      <c r="BT11" s="199" t="e">
        <f t="shared" si="35"/>
        <v>#DIV/0!</v>
      </c>
      <c r="BU11" s="204">
        <f>'FY 2016 by Agency'!BL11*Inflator!$E$14</f>
        <v>13.956793802145411</v>
      </c>
      <c r="BV11" s="204">
        <f t="shared" si="36"/>
        <v>13.956793802145411</v>
      </c>
      <c r="BW11" s="309">
        <v>0</v>
      </c>
      <c r="BX11" s="206">
        <f>'FY 2016 by Agency'!BW11*Inflator!E15</f>
        <v>99.137955145118724</v>
      </c>
      <c r="BY11" s="204">
        <f>'FY 2016 by Agency'!BZ11*Inflator!$E$15</f>
        <v>0</v>
      </c>
      <c r="BZ11" s="206">
        <f t="shared" si="37"/>
        <v>0</v>
      </c>
      <c r="CA11" s="199" t="e">
        <f t="shared" si="38"/>
        <v>#DIV/0!</v>
      </c>
      <c r="CB11" s="308">
        <f>'FY 2016 by Agency'!CF11*Inflator!$E$16</f>
        <v>0</v>
      </c>
      <c r="CC11" s="206">
        <f t="shared" si="39"/>
        <v>0</v>
      </c>
      <c r="CD11" s="304" t="e">
        <f t="shared" si="40"/>
        <v>#DIV/0!</v>
      </c>
      <c r="CE11" s="206">
        <f>'FY 2016 by Agency'!CK11*Inflator!$E$17</f>
        <v>0</v>
      </c>
      <c r="CF11" s="206">
        <f t="shared" si="41"/>
        <v>0</v>
      </c>
      <c r="CG11" s="562" t="e">
        <f t="shared" si="42"/>
        <v>#DIV/0!</v>
      </c>
      <c r="CH11" s="753">
        <f>'FY 2016 by Agency'!CN11*Inflator!$E$18</f>
        <v>0</v>
      </c>
      <c r="CI11" s="753">
        <f t="shared" si="43"/>
        <v>0</v>
      </c>
      <c r="CJ11" s="66" t="e">
        <f t="shared" si="44"/>
        <v>#DIV/0!</v>
      </c>
    </row>
    <row r="12" spans="1:88" ht="18" customHeight="1" x14ac:dyDescent="0.25">
      <c r="A12" s="68" t="s">
        <v>372</v>
      </c>
      <c r="B12" s="310" t="s">
        <v>132</v>
      </c>
      <c r="C12" s="310" t="s">
        <v>132</v>
      </c>
      <c r="D12" s="310" t="s">
        <v>132</v>
      </c>
      <c r="E12" s="310" t="s">
        <v>132</v>
      </c>
      <c r="F12" s="310" t="s">
        <v>132</v>
      </c>
      <c r="G12" s="310" t="s">
        <v>132</v>
      </c>
      <c r="H12" s="310" t="s">
        <v>132</v>
      </c>
      <c r="I12" s="310" t="s">
        <v>132</v>
      </c>
      <c r="J12" s="310" t="s">
        <v>132</v>
      </c>
      <c r="K12" s="310" t="s">
        <v>132</v>
      </c>
      <c r="L12" s="310" t="s">
        <v>132</v>
      </c>
      <c r="M12" s="310" t="s">
        <v>132</v>
      </c>
      <c r="N12" s="310" t="s">
        <v>132</v>
      </c>
      <c r="O12" s="310" t="s">
        <v>132</v>
      </c>
      <c r="P12" s="310" t="s">
        <v>132</v>
      </c>
      <c r="Q12" s="310" t="s">
        <v>132</v>
      </c>
      <c r="R12" s="310" t="s">
        <v>132</v>
      </c>
      <c r="S12" s="310" t="s">
        <v>132</v>
      </c>
      <c r="T12" s="310" t="s">
        <v>132</v>
      </c>
      <c r="U12" s="310" t="s">
        <v>132</v>
      </c>
      <c r="V12" s="310" t="s">
        <v>132</v>
      </c>
      <c r="W12" s="310" t="s">
        <v>132</v>
      </c>
      <c r="X12" s="204">
        <f>'FY 2016 by Agency'!X12*Inflator!$E$10</f>
        <v>0</v>
      </c>
      <c r="Y12" s="310" t="s">
        <v>132</v>
      </c>
      <c r="Z12" s="311"/>
      <c r="AA12" s="204">
        <f>'FY 2016 by Agency'!AA12*Inflator!$E$11</f>
        <v>0</v>
      </c>
      <c r="AB12" s="206">
        <f t="shared" si="3"/>
        <v>0</v>
      </c>
      <c r="AC12" s="304" t="e">
        <f t="shared" si="4"/>
        <v>#DIV/0!</v>
      </c>
      <c r="AD12" s="204">
        <f>'FY 2016 by Agency'!AD12*Inflator!$E$12</f>
        <v>0</v>
      </c>
      <c r="AE12" s="204">
        <f>'FY 2016 by Agency'!AE12*Inflator!$B$8</f>
        <v>0</v>
      </c>
      <c r="AF12" s="204">
        <f>'FY 2016 by Agency'!AF12*Inflator!$E$12</f>
        <v>0</v>
      </c>
      <c r="AG12" s="204">
        <f t="shared" si="18"/>
        <v>0</v>
      </c>
      <c r="AH12" s="304" t="e">
        <f t="shared" si="19"/>
        <v>#DIV/0!</v>
      </c>
      <c r="AI12" s="204">
        <f>'FY 2016 by Agency'!AI12*Inflator!$B$8</f>
        <v>0</v>
      </c>
      <c r="AJ12" s="204">
        <f>'FY 2016 by Agency'!AJ12*Inflator!$B$8</f>
        <v>0</v>
      </c>
      <c r="AK12" s="204">
        <f>'FY 2016 by Agency'!AK12</f>
        <v>472</v>
      </c>
      <c r="AL12" s="204">
        <f>'FY 2016 by Agency'!AL12</f>
        <v>0</v>
      </c>
      <c r="AM12" s="204">
        <f>'FY 2016 by Agency'!AM12</f>
        <v>472</v>
      </c>
      <c r="AN12" s="204">
        <f>'FY 2016 by Agency'!AN12</f>
        <v>302</v>
      </c>
      <c r="AO12" s="204">
        <f>'FY 2016 by Agency'!AO12</f>
        <v>302</v>
      </c>
      <c r="AP12" s="204">
        <f>'FY 2016 by Agency'!AP12</f>
        <v>110</v>
      </c>
      <c r="AQ12" s="204">
        <f>'FY 2016 by Agency'!AQ12</f>
        <v>0</v>
      </c>
      <c r="AR12" s="204">
        <f>'FY 2016 by Agency'!AR12</f>
        <v>110</v>
      </c>
      <c r="AS12" s="204">
        <f>'FY 2016 by Agency'!AS12</f>
        <v>110</v>
      </c>
      <c r="AT12" s="204">
        <f t="shared" si="20"/>
        <v>110</v>
      </c>
      <c r="AU12" s="304" t="e">
        <f t="shared" si="21"/>
        <v>#DIV/0!</v>
      </c>
      <c r="AV12" s="204">
        <f t="shared" si="22"/>
        <v>110</v>
      </c>
      <c r="AW12" s="304" t="e">
        <f t="shared" si="23"/>
        <v>#DIV/0!</v>
      </c>
      <c r="AX12" s="305" t="s">
        <v>373</v>
      </c>
      <c r="AY12" s="207">
        <v>302</v>
      </c>
      <c r="AZ12" s="207">
        <f t="shared" si="24"/>
        <v>0</v>
      </c>
      <c r="BA12" s="207">
        <f t="shared" si="25"/>
        <v>110</v>
      </c>
      <c r="BB12" s="207">
        <f t="shared" si="26"/>
        <v>110</v>
      </c>
      <c r="BC12" s="304" t="e">
        <f t="shared" si="27"/>
        <v>#DIV/0!</v>
      </c>
      <c r="BD12" s="306">
        <v>9.4700000000000006</v>
      </c>
      <c r="BE12" s="199">
        <f t="shared" si="5"/>
        <v>3.1357615894039736E-2</v>
      </c>
      <c r="BI12" s="200">
        <v>0</v>
      </c>
      <c r="BJ12" s="207">
        <f t="shared" si="28"/>
        <v>-302</v>
      </c>
      <c r="BK12" s="200">
        <f t="shared" si="29"/>
        <v>110</v>
      </c>
      <c r="BL12" s="307">
        <f>'FY 2016 by Agency'!BB12*Inflator!$E$13</f>
        <v>0</v>
      </c>
      <c r="BM12" s="204">
        <f t="shared" si="30"/>
        <v>0</v>
      </c>
      <c r="BN12" s="199" t="e">
        <f t="shared" si="31"/>
        <v>#DIV/0!</v>
      </c>
      <c r="BO12" s="204">
        <f>'FY 2016 by Agency'!AX12*Inflator!$E$13</f>
        <v>0</v>
      </c>
      <c r="BP12" s="204">
        <f t="shared" si="32"/>
        <v>0</v>
      </c>
      <c r="BQ12" s="199" t="e">
        <f t="shared" si="33"/>
        <v>#DIV/0!</v>
      </c>
      <c r="BR12" s="204">
        <f>'FY 2016 by Agency'!BE12*Inflator!$E$14</f>
        <v>0</v>
      </c>
      <c r="BS12" s="204">
        <f t="shared" si="34"/>
        <v>0</v>
      </c>
      <c r="BT12" s="199" t="e">
        <f t="shared" si="35"/>
        <v>#DIV/0!</v>
      </c>
      <c r="BU12" s="204">
        <f>'FY 2016 by Agency'!BL12*Inflator!$E$14</f>
        <v>110.58075089392132</v>
      </c>
      <c r="BV12" s="204">
        <f t="shared" si="36"/>
        <v>110.58075089392132</v>
      </c>
      <c r="BW12" s="309">
        <v>0</v>
      </c>
      <c r="BX12" s="206">
        <f>'FY 2016 by Agency'!BW12*Inflator!E15</f>
        <v>133.32473175021985</v>
      </c>
      <c r="BY12" s="204">
        <f>'FY 2016 by Agency'!BZ12*Inflator!$E$15</f>
        <v>0</v>
      </c>
      <c r="BZ12" s="206">
        <f t="shared" si="37"/>
        <v>0</v>
      </c>
      <c r="CA12" s="199" t="e">
        <f t="shared" si="38"/>
        <v>#DIV/0!</v>
      </c>
      <c r="CB12" s="308">
        <f>'FY 2016 by Agency'!CF12*Inflator!$E$16</f>
        <v>0</v>
      </c>
      <c r="CC12" s="206">
        <f t="shared" si="39"/>
        <v>0</v>
      </c>
      <c r="CD12" s="304" t="e">
        <f t="shared" si="40"/>
        <v>#DIV/0!</v>
      </c>
      <c r="CE12" s="206">
        <f>'FY 2016 by Agency'!CK12*Inflator!$E$17</f>
        <v>0</v>
      </c>
      <c r="CF12" s="206">
        <f t="shared" si="41"/>
        <v>0</v>
      </c>
      <c r="CG12" s="562" t="e">
        <f t="shared" si="42"/>
        <v>#DIV/0!</v>
      </c>
      <c r="CH12" s="753">
        <f>'FY 2016 by Agency'!CN12*Inflator!$E$18</f>
        <v>0</v>
      </c>
      <c r="CI12" s="753">
        <f t="shared" si="43"/>
        <v>0</v>
      </c>
      <c r="CJ12" s="66" t="e">
        <f t="shared" si="44"/>
        <v>#DIV/0!</v>
      </c>
    </row>
    <row r="13" spans="1:88" ht="18" customHeight="1" x14ac:dyDescent="0.25">
      <c r="A13" s="68" t="s">
        <v>134</v>
      </c>
      <c r="B13" s="302">
        <f>'FY 2016 by Agency'!B13*Inflator!$E$2</f>
        <v>2705.1232057416269</v>
      </c>
      <c r="C13" s="302">
        <f>'FY 2016 by Agency'!C13*Inflator!$E$3</f>
        <v>3232.6761978361669</v>
      </c>
      <c r="D13" s="302">
        <f t="shared" si="6"/>
        <v>527.55299209454006</v>
      </c>
      <c r="E13" s="303">
        <f t="shared" si="7"/>
        <v>0.19501994991385541</v>
      </c>
      <c r="F13" s="204">
        <f>'FY 2016 by Agency'!F13*Inflator!$E$4</f>
        <v>3153.1393224210128</v>
      </c>
      <c r="G13" s="204">
        <f t="shared" si="8"/>
        <v>-79.5368754151541</v>
      </c>
      <c r="H13" s="199">
        <f t="shared" si="9"/>
        <v>-2.4604034102887608E-2</v>
      </c>
      <c r="I13" s="204">
        <f>'FY 2016 by Agency'!I13*Inflator!$E$5</f>
        <v>3431.4923763480851</v>
      </c>
      <c r="J13" s="204">
        <f t="shared" si="10"/>
        <v>278.35305392707232</v>
      </c>
      <c r="K13" s="199">
        <f t="shared" si="11"/>
        <v>8.827807003255092E-2</v>
      </c>
      <c r="L13" s="204">
        <f>'FY 2016 by Agency'!L13*Inflator!$E$6</f>
        <v>3489.0556161395857</v>
      </c>
      <c r="M13" s="204">
        <f t="shared" si="12"/>
        <v>57.563239791500564</v>
      </c>
      <c r="N13" s="199">
        <f t="shared" si="13"/>
        <v>1.6774986938120896E-2</v>
      </c>
      <c r="O13" s="204">
        <f>'FY 2016 by Agency'!O13*Inflator!$E$7</f>
        <v>3622.0232312565995</v>
      </c>
      <c r="P13" s="204">
        <f t="shared" si="14"/>
        <v>132.96761511701379</v>
      </c>
      <c r="Q13" s="304">
        <f t="shared" si="0"/>
        <v>3.8109915617835249E-2</v>
      </c>
      <c r="R13" s="204">
        <f>'FY 2016 by Agency'!R13*Inflator!$E$8</f>
        <v>3749.7617107942974</v>
      </c>
      <c r="S13" s="204">
        <f t="shared" si="1"/>
        <v>127.73847953769791</v>
      </c>
      <c r="T13" s="304">
        <f t="shared" si="2"/>
        <v>3.5267161854558624E-2</v>
      </c>
      <c r="U13" s="204">
        <f>'FY 2016 by Agency'!U13*Inflator!$E$9</f>
        <v>4197.9250663129969</v>
      </c>
      <c r="V13" s="204">
        <f t="shared" si="15"/>
        <v>448.16335551869952</v>
      </c>
      <c r="W13" s="304">
        <f t="shared" si="16"/>
        <v>0.11951782275353354</v>
      </c>
      <c r="X13" s="204">
        <f>'FY 2016 by Agency'!X13*Inflator!$E$10</f>
        <v>3747.1657669101305</v>
      </c>
      <c r="Y13" s="206">
        <f t="shared" si="17"/>
        <v>-450.75929940286642</v>
      </c>
      <c r="Z13" s="304">
        <f t="shared" ref="Z13:Z19" si="45">Y13/U13</f>
        <v>-0.10737669021776146</v>
      </c>
      <c r="AA13" s="204">
        <f>'FY 2016 by Agency'!AA13*Inflator!$E$11</f>
        <v>4940.2077094616125</v>
      </c>
      <c r="AB13" s="206">
        <f t="shared" si="3"/>
        <v>1193.041942551482</v>
      </c>
      <c r="AC13" s="304">
        <f t="shared" si="4"/>
        <v>0.31838515207595164</v>
      </c>
      <c r="AD13" s="204">
        <f>'FY 2016 by Agency'!AD13*Inflator!$E$12</f>
        <v>3105.2171052631584</v>
      </c>
      <c r="AE13" s="204">
        <f>'FY 2016 by Agency'!AE13*Inflator!$B$8</f>
        <v>0</v>
      </c>
      <c r="AF13" s="204">
        <f>'FY 2016 by Agency'!AF13*Inflator!$E$12</f>
        <v>3326.4539473684213</v>
      </c>
      <c r="AG13" s="204">
        <f t="shared" si="18"/>
        <v>-1613.7537620931912</v>
      </c>
      <c r="AH13" s="304">
        <f t="shared" si="19"/>
        <v>-0.3266570672732016</v>
      </c>
      <c r="AI13" s="204">
        <f>'FY 2016 by Agency'!AI13*Inflator!$B$8</f>
        <v>0</v>
      </c>
      <c r="AJ13" s="204">
        <f>'FY 2016 by Agency'!AJ13*Inflator!$B$8</f>
        <v>0</v>
      </c>
      <c r="AK13" s="204">
        <f>'FY 2016 by Agency'!AK13</f>
        <v>2689</v>
      </c>
      <c r="AL13" s="204">
        <f>'FY 2016 by Agency'!AL13</f>
        <v>150</v>
      </c>
      <c r="AM13" s="204">
        <f>'FY 2016 by Agency'!AM13</f>
        <v>2839</v>
      </c>
      <c r="AN13" s="204">
        <f>'FY 2016 by Agency'!AN13</f>
        <v>2028</v>
      </c>
      <c r="AO13" s="204">
        <f>'FY 2016 by Agency'!AO13</f>
        <v>2727</v>
      </c>
      <c r="AP13" s="204">
        <f>'FY 2016 by Agency'!AP13</f>
        <v>313</v>
      </c>
      <c r="AQ13" s="204">
        <f>'FY 2016 by Agency'!AQ13</f>
        <v>36</v>
      </c>
      <c r="AR13" s="204">
        <f>'FY 2016 by Agency'!AR13</f>
        <v>349</v>
      </c>
      <c r="AS13" s="204">
        <f>'FY 2016 by Agency'!AS13</f>
        <v>3220.0817099999999</v>
      </c>
      <c r="AT13" s="204">
        <f t="shared" si="20"/>
        <v>-2756.2171052631584</v>
      </c>
      <c r="AU13" s="304">
        <f t="shared" si="21"/>
        <v>-0.8876085026684718</v>
      </c>
      <c r="AV13" s="204">
        <f t="shared" si="22"/>
        <v>-106.37223736842134</v>
      </c>
      <c r="AW13" s="304">
        <f t="shared" si="23"/>
        <v>-3.1977667225056003E-2</v>
      </c>
      <c r="AX13" s="305" t="s">
        <v>374</v>
      </c>
      <c r="AY13" s="207">
        <v>2855.9981899999998</v>
      </c>
      <c r="AZ13" s="207">
        <f t="shared" si="24"/>
        <v>128.99818999999979</v>
      </c>
      <c r="BA13" s="207">
        <f t="shared" si="25"/>
        <v>22.625952631578457</v>
      </c>
      <c r="BB13" s="207">
        <f t="shared" si="26"/>
        <v>3349.0798999999997</v>
      </c>
      <c r="BC13" s="304">
        <f t="shared" si="27"/>
        <v>6.8018235002105243E-3</v>
      </c>
      <c r="BD13" s="306">
        <v>57.968000000000004</v>
      </c>
      <c r="BE13" s="199">
        <f t="shared" si="5"/>
        <v>2.0296931630758495E-2</v>
      </c>
      <c r="BF13" s="66">
        <v>99</v>
      </c>
      <c r="BI13" s="200">
        <v>2728</v>
      </c>
      <c r="BJ13" s="207">
        <f t="shared" si="28"/>
        <v>-127.99818999999979</v>
      </c>
      <c r="BK13" s="200">
        <f t="shared" si="29"/>
        <v>3077</v>
      </c>
      <c r="BL13" s="307">
        <f>'FY 2016 by Agency'!BB13*Inflator!$E$13</f>
        <v>3156.7004580805615</v>
      </c>
      <c r="BM13" s="204">
        <f t="shared" si="30"/>
        <v>-169.75348928785979</v>
      </c>
      <c r="BN13" s="199">
        <f t="shared" si="31"/>
        <v>-5.1031366125526209E-2</v>
      </c>
      <c r="BO13" s="204">
        <f>'FY 2016 by Agency'!AX13*Inflator!$E$13</f>
        <v>2999.3848031736343</v>
      </c>
      <c r="BP13" s="204">
        <f t="shared" si="32"/>
        <v>-327.06914419478699</v>
      </c>
      <c r="BQ13" s="199">
        <f t="shared" si="33"/>
        <v>-9.8323665191136486E-2</v>
      </c>
      <c r="BR13" s="204">
        <f>'FY 2016 by Agency'!BE13*Inflator!$E$14</f>
        <v>4054.9853992848625</v>
      </c>
      <c r="BS13" s="204">
        <f t="shared" si="34"/>
        <v>1055.6005961112282</v>
      </c>
      <c r="BT13" s="199">
        <f t="shared" si="35"/>
        <v>0.35193903596307563</v>
      </c>
      <c r="BU13" s="204">
        <f>'FY 2016 by Agency'!BL13*Inflator!$E$14</f>
        <v>4335.1948748510131</v>
      </c>
      <c r="BV13" s="204">
        <f t="shared" si="36"/>
        <v>1178.4944167704516</v>
      </c>
      <c r="BW13" s="309">
        <v>3246</v>
      </c>
      <c r="BX13" s="206">
        <f>'FY 2016 by Agency'!BW13*Inflator!E15</f>
        <v>3701.0151204925237</v>
      </c>
      <c r="BY13" s="204">
        <f>'FY 2016 by Agency'!BZ13*Inflator!$E$15</f>
        <v>3743.4863676341247</v>
      </c>
      <c r="BZ13" s="206">
        <f t="shared" si="37"/>
        <v>-808.98539928486252</v>
      </c>
      <c r="CA13" s="199">
        <f t="shared" si="38"/>
        <v>-0.1995038994289684</v>
      </c>
      <c r="CB13" s="308">
        <f>'FY 2016 by Agency'!CF13*Inflator!$E$16</f>
        <v>3861.0259890268549</v>
      </c>
      <c r="CC13" s="206">
        <f t="shared" si="39"/>
        <v>117.53962139273017</v>
      </c>
      <c r="CD13" s="304">
        <f t="shared" si="40"/>
        <v>3.1398437138430123E-2</v>
      </c>
      <c r="CE13" s="206">
        <f>'FY 2016 by Agency'!CK13*Inflator!$E$17</f>
        <v>3894.997166336073</v>
      </c>
      <c r="CF13" s="206">
        <f t="shared" si="41"/>
        <v>33.971177309218092</v>
      </c>
      <c r="CG13" s="562">
        <f t="shared" si="42"/>
        <v>8.7984844975830621E-3</v>
      </c>
      <c r="CH13" s="753">
        <f>'FY 2016 by Agency'!CN13*Inflator!$E$18</f>
        <v>0</v>
      </c>
      <c r="CI13" s="753">
        <f t="shared" si="43"/>
        <v>-3894.997166336073</v>
      </c>
      <c r="CJ13" s="66">
        <f t="shared" si="44"/>
        <v>-1</v>
      </c>
    </row>
    <row r="14" spans="1:88" ht="19.5" customHeight="1" x14ac:dyDescent="0.25">
      <c r="A14" s="312" t="s">
        <v>135</v>
      </c>
      <c r="B14" s="302">
        <f>'FY 2016 by Agency'!B14*Inflator!$E$2</f>
        <v>0</v>
      </c>
      <c r="C14" s="302">
        <f>'FY 2016 by Agency'!C14*Inflator!$E$3</f>
        <v>767.09930448222576</v>
      </c>
      <c r="D14" s="302">
        <f t="shared" si="6"/>
        <v>767.09930448222576</v>
      </c>
      <c r="E14" s="303" t="e">
        <f t="shared" si="7"/>
        <v>#DIV/0!</v>
      </c>
      <c r="F14" s="204">
        <f>'FY 2016 by Agency'!F14*Inflator!$E$4</f>
        <v>2537.323943661972</v>
      </c>
      <c r="G14" s="204">
        <f t="shared" si="8"/>
        <v>1770.2246391797462</v>
      </c>
      <c r="H14" s="199">
        <f t="shared" si="9"/>
        <v>2.3076864088341296</v>
      </c>
      <c r="I14" s="204">
        <f>'FY 2016 by Agency'!I14*Inflator!$E$5</f>
        <v>2957.1666046857572</v>
      </c>
      <c r="J14" s="204">
        <f t="shared" si="10"/>
        <v>419.84266102378524</v>
      </c>
      <c r="K14" s="199">
        <f t="shared" si="11"/>
        <v>0.16546671625139467</v>
      </c>
      <c r="L14" s="204">
        <f>'FY 2016 by Agency'!L14*Inflator!$E$6</f>
        <v>2992.6772082878952</v>
      </c>
      <c r="M14" s="204">
        <f t="shared" si="12"/>
        <v>35.510603602137962</v>
      </c>
      <c r="N14" s="199">
        <f t="shared" si="13"/>
        <v>1.2008320243394434E-2</v>
      </c>
      <c r="O14" s="204">
        <f>'FY 2016 by Agency'!O14*Inflator!$E$7</f>
        <v>457.82576557550152</v>
      </c>
      <c r="P14" s="204">
        <f t="shared" si="14"/>
        <v>-2534.8514427123937</v>
      </c>
      <c r="Q14" s="304">
        <f t="shared" si="0"/>
        <v>-0.84701799301722125</v>
      </c>
      <c r="R14" s="204">
        <f>'FY 2016 by Agency'!R14*Inflator!$E$8</f>
        <v>401.14867617107944</v>
      </c>
      <c r="S14" s="204">
        <f t="shared" si="1"/>
        <v>-56.677089404422077</v>
      </c>
      <c r="T14" s="304">
        <f t="shared" si="2"/>
        <v>-0.1237961986110091</v>
      </c>
      <c r="U14" s="204">
        <f>'FY 2016 by Agency'!U14*Inflator!$E$9</f>
        <v>293.87864721485408</v>
      </c>
      <c r="V14" s="204">
        <f t="shared" si="15"/>
        <v>-107.27002895622536</v>
      </c>
      <c r="W14" s="304">
        <f t="shared" si="16"/>
        <v>-0.2674071618037136</v>
      </c>
      <c r="X14" s="204">
        <f>'FY 2016 by Agency'!X14*Inflator!$E$10</f>
        <v>0</v>
      </c>
      <c r="Y14" s="206">
        <f t="shared" si="17"/>
        <v>-293.87864721485408</v>
      </c>
      <c r="Z14" s="304">
        <f t="shared" si="45"/>
        <v>-1</v>
      </c>
      <c r="AA14" s="204">
        <f>'FY 2016 by Agency'!AA14*Inflator!$E$11</f>
        <v>0</v>
      </c>
      <c r="AB14" s="206">
        <f t="shared" si="3"/>
        <v>0</v>
      </c>
      <c r="AC14" s="304" t="e">
        <f t="shared" si="4"/>
        <v>#DIV/0!</v>
      </c>
      <c r="AD14" s="204">
        <f>'FY 2016 by Agency'!AD14*Inflator!$E$12</f>
        <v>0</v>
      </c>
      <c r="AE14" s="204">
        <f>'FY 2016 by Agency'!AE14*Inflator!$B$8</f>
        <v>0</v>
      </c>
      <c r="AF14" s="204">
        <f>'FY 2016 by Agency'!AF14*Inflator!$E$12</f>
        <v>0</v>
      </c>
      <c r="AG14" s="204">
        <f t="shared" si="18"/>
        <v>0</v>
      </c>
      <c r="AH14" s="304" t="e">
        <f t="shared" si="19"/>
        <v>#DIV/0!</v>
      </c>
      <c r="AI14" s="204">
        <f>'FY 2016 by Agency'!AI14*Inflator!$B$8</f>
        <v>0</v>
      </c>
      <c r="AJ14" s="204">
        <f>'FY 2016 by Agency'!AJ14*Inflator!$B$8</f>
        <v>0</v>
      </c>
      <c r="AK14" s="204">
        <f>'FY 2016 by Agency'!AK14</f>
        <v>0</v>
      </c>
      <c r="AL14" s="204">
        <f>'FY 2016 by Agency'!AL14</f>
        <v>0</v>
      </c>
      <c r="AM14" s="204">
        <f>'FY 2016 by Agency'!AM14</f>
        <v>0</v>
      </c>
      <c r="AN14" s="204">
        <f>'FY 2016 by Agency'!AN14</f>
        <v>0</v>
      </c>
      <c r="AO14" s="204">
        <f>'FY 2016 by Agency'!AO14</f>
        <v>0</v>
      </c>
      <c r="AP14" s="204">
        <f>'FY 2016 by Agency'!AP14</f>
        <v>0</v>
      </c>
      <c r="AQ14" s="204">
        <f>'FY 2016 by Agency'!AQ14</f>
        <v>0</v>
      </c>
      <c r="AR14" s="204">
        <f>'FY 2016 by Agency'!AR14</f>
        <v>0</v>
      </c>
      <c r="AS14" s="204">
        <f>'FY 2016 by Agency'!AS14</f>
        <v>0</v>
      </c>
      <c r="AT14" s="204">
        <f t="shared" si="20"/>
        <v>0</v>
      </c>
      <c r="AU14" s="304" t="e">
        <f t="shared" si="21"/>
        <v>#DIV/0!</v>
      </c>
      <c r="AV14" s="204">
        <f t="shared" si="22"/>
        <v>0</v>
      </c>
      <c r="AW14" s="304" t="e">
        <f t="shared" si="23"/>
        <v>#DIV/0!</v>
      </c>
      <c r="AZ14" s="207">
        <f t="shared" si="24"/>
        <v>0</v>
      </c>
      <c r="BA14" s="207">
        <f t="shared" si="25"/>
        <v>0</v>
      </c>
      <c r="BB14" s="207">
        <f t="shared" si="26"/>
        <v>0</v>
      </c>
      <c r="BC14" s="304"/>
      <c r="BD14" s="306"/>
      <c r="BE14" s="199"/>
      <c r="BI14" s="200"/>
      <c r="BJ14" s="207">
        <f t="shared" si="28"/>
        <v>0</v>
      </c>
      <c r="BK14" s="200">
        <f t="shared" si="29"/>
        <v>0</v>
      </c>
      <c r="BL14" s="307">
        <f>'FY 2016 by Agency'!BB14*Inflator!$E$13</f>
        <v>0</v>
      </c>
      <c r="BM14" s="204">
        <f t="shared" si="30"/>
        <v>0</v>
      </c>
      <c r="BN14" s="199" t="e">
        <f t="shared" si="31"/>
        <v>#DIV/0!</v>
      </c>
      <c r="BO14" s="204">
        <f>'FY 2016 by Agency'!AX14*Inflator!$E$13</f>
        <v>0</v>
      </c>
      <c r="BP14" s="204">
        <f t="shared" si="32"/>
        <v>0</v>
      </c>
      <c r="BQ14" s="199" t="e">
        <f t="shared" si="33"/>
        <v>#DIV/0!</v>
      </c>
      <c r="BR14" s="204">
        <f>'FY 2016 by Agency'!BE14*Inflator!$E$14</f>
        <v>0</v>
      </c>
      <c r="BS14" s="204">
        <f t="shared" si="34"/>
        <v>0</v>
      </c>
      <c r="BT14" s="199" t="e">
        <f t="shared" si="35"/>
        <v>#DIV/0!</v>
      </c>
      <c r="BU14" s="204">
        <f>'FY 2016 by Agency'!BL14*Inflator!$E$14</f>
        <v>0</v>
      </c>
      <c r="BV14" s="204">
        <f t="shared" si="36"/>
        <v>0</v>
      </c>
      <c r="BW14" s="206">
        <v>0</v>
      </c>
      <c r="BX14" s="206">
        <f>'FY 2016 by Agency'!BW14*Inflator!E24</f>
        <v>0</v>
      </c>
      <c r="BY14" s="204">
        <f>'FY 2016 by Agency'!BZ14*Inflator!$E$15</f>
        <v>0</v>
      </c>
      <c r="BZ14" s="206">
        <f t="shared" si="37"/>
        <v>0</v>
      </c>
      <c r="CA14" s="199" t="e">
        <f t="shared" si="38"/>
        <v>#DIV/0!</v>
      </c>
      <c r="CB14" s="308">
        <f>'FY 2016 by Agency'!CF14*Inflator!$E$16</f>
        <v>0</v>
      </c>
      <c r="CC14" s="206">
        <f t="shared" si="39"/>
        <v>0</v>
      </c>
      <c r="CD14" s="304" t="e">
        <f t="shared" si="40"/>
        <v>#DIV/0!</v>
      </c>
      <c r="CE14" s="206">
        <f>'FY 2016 by Agency'!CK14*Inflator!$E$17</f>
        <v>0</v>
      </c>
      <c r="CF14" s="206">
        <f t="shared" si="41"/>
        <v>0</v>
      </c>
      <c r="CG14" s="562" t="e">
        <f t="shared" si="42"/>
        <v>#DIV/0!</v>
      </c>
      <c r="CH14" s="753">
        <f>'FY 2016 by Agency'!CN14*Inflator!$E$18</f>
        <v>0</v>
      </c>
      <c r="CI14" s="753">
        <f t="shared" si="43"/>
        <v>0</v>
      </c>
      <c r="CJ14" s="66" t="e">
        <f t="shared" si="44"/>
        <v>#DIV/0!</v>
      </c>
    </row>
    <row r="15" spans="1:88" ht="18" customHeight="1" x14ac:dyDescent="0.25">
      <c r="A15" s="68" t="s">
        <v>136</v>
      </c>
      <c r="B15" s="302">
        <f>'FY 2016 by Agency'!B15*Inflator!$E$2</f>
        <v>3852.9688995215311</v>
      </c>
      <c r="C15" s="302">
        <f>'FY 2016 by Agency'!C15*Inflator!$E$3</f>
        <v>6672.7894126738802</v>
      </c>
      <c r="D15" s="302">
        <f t="shared" si="6"/>
        <v>2819.8205131523491</v>
      </c>
      <c r="E15" s="303">
        <f t="shared" si="7"/>
        <v>0.73185654664965494</v>
      </c>
      <c r="F15" s="204">
        <f>'FY 2016 by Agency'!F15*Inflator!$E$4</f>
        <v>8030.2874000761331</v>
      </c>
      <c r="G15" s="204">
        <f t="shared" si="8"/>
        <v>1357.4979874022529</v>
      </c>
      <c r="H15" s="199">
        <f t="shared" si="9"/>
        <v>0.20343785836008937</v>
      </c>
      <c r="I15" s="204">
        <f>'FY 2016 by Agency'!I15*Inflator!$E$5</f>
        <v>8888.9185570844184</v>
      </c>
      <c r="J15" s="204">
        <f t="shared" si="10"/>
        <v>858.6311570082853</v>
      </c>
      <c r="K15" s="199">
        <f t="shared" si="11"/>
        <v>0.10692408804697885</v>
      </c>
      <c r="L15" s="204">
        <f>'FY 2016 by Agency'!L15*Inflator!$E$6</f>
        <v>8679.4187568157031</v>
      </c>
      <c r="M15" s="204">
        <f t="shared" si="12"/>
        <v>-209.49980026871526</v>
      </c>
      <c r="N15" s="199">
        <f t="shared" si="13"/>
        <v>-2.3568648865811139E-2</v>
      </c>
      <c r="O15" s="204">
        <f>'FY 2016 by Agency'!O15*Inflator!$E$7</f>
        <v>14016.316789862723</v>
      </c>
      <c r="P15" s="204">
        <f t="shared" si="14"/>
        <v>5336.8980330470204</v>
      </c>
      <c r="Q15" s="304">
        <f t="shared" si="0"/>
        <v>0.6148911790730347</v>
      </c>
      <c r="R15" s="204">
        <f>'FY 2016 by Agency'!R15*Inflator!$E$8</f>
        <v>25958.477596741344</v>
      </c>
      <c r="S15" s="204">
        <f t="shared" si="1"/>
        <v>11942.160806878621</v>
      </c>
      <c r="T15" s="304">
        <f t="shared" si="2"/>
        <v>0.85201847146575393</v>
      </c>
      <c r="U15" s="204">
        <f>'FY 2016 by Agency'!U15*Inflator!$E$9</f>
        <v>21067.276193633948</v>
      </c>
      <c r="V15" s="204">
        <f t="shared" si="15"/>
        <v>-4891.2014031073959</v>
      </c>
      <c r="W15" s="304">
        <f t="shared" si="16"/>
        <v>-0.18842404701427501</v>
      </c>
      <c r="X15" s="204">
        <f>'FY 2016 by Agency'!X15*Inflator!$E$10</f>
        <v>7445.1321054302962</v>
      </c>
      <c r="Y15" s="206">
        <f t="shared" si="17"/>
        <v>-13622.144088203651</v>
      </c>
      <c r="Z15" s="304">
        <f t="shared" si="45"/>
        <v>-0.64660205538673066</v>
      </c>
      <c r="AA15" s="204">
        <f>'FY 2016 by Agency'!AA15*Inflator!$E$11</f>
        <v>6845.5852182223643</v>
      </c>
      <c r="AB15" s="206">
        <f t="shared" si="3"/>
        <v>-599.54688720793183</v>
      </c>
      <c r="AC15" s="304">
        <f t="shared" si="4"/>
        <v>-8.0528710399999093E-2</v>
      </c>
      <c r="AD15" s="204">
        <f>'FY 2016 by Agency'!AD15*Inflator!$E$12</f>
        <v>6142.708646616542</v>
      </c>
      <c r="AE15" s="204">
        <f>'FY 2016 by Agency'!AE15*Inflator!$B$8</f>
        <v>0</v>
      </c>
      <c r="AF15" s="204">
        <f>'FY 2016 by Agency'!AF15*Inflator!$E$12</f>
        <v>5662.9859022556402</v>
      </c>
      <c r="AG15" s="204">
        <f t="shared" si="18"/>
        <v>-1182.5993159667241</v>
      </c>
      <c r="AH15" s="304">
        <f t="shared" si="19"/>
        <v>-0.17275357449626741</v>
      </c>
      <c r="AI15" s="204">
        <f>'FY 2016 by Agency'!AI15*Inflator!$B$8</f>
        <v>0</v>
      </c>
      <c r="AJ15" s="204">
        <f>'FY 2016 by Agency'!AJ15*Inflator!$B$8</f>
        <v>0</v>
      </c>
      <c r="AK15" s="204">
        <f>'FY 2016 by Agency'!AK15</f>
        <v>5438</v>
      </c>
      <c r="AL15" s="204">
        <f>'FY 2016 by Agency'!AL15</f>
        <v>0</v>
      </c>
      <c r="AM15" s="204">
        <f>'FY 2016 by Agency'!AM15</f>
        <v>5438</v>
      </c>
      <c r="AN15" s="204">
        <f>'FY 2016 by Agency'!AN15</f>
        <v>5105</v>
      </c>
      <c r="AO15" s="204">
        <f>'FY 2016 by Agency'!AO15</f>
        <v>5105</v>
      </c>
      <c r="AP15" s="204">
        <f>'FY 2016 by Agency'!AP15</f>
        <v>1</v>
      </c>
      <c r="AQ15" s="204">
        <f>'FY 2016 by Agency'!AQ15</f>
        <v>193</v>
      </c>
      <c r="AR15" s="204">
        <f>'FY 2016 by Agency'!AR15</f>
        <v>194</v>
      </c>
      <c r="AS15" s="204">
        <f>'FY 2016 by Agency'!AS15</f>
        <v>4205.7538000000004</v>
      </c>
      <c r="AT15" s="204">
        <f t="shared" si="20"/>
        <v>-5948.708646616542</v>
      </c>
      <c r="AU15" s="304">
        <f t="shared" si="21"/>
        <v>-0.96841784119016339</v>
      </c>
      <c r="AV15" s="204">
        <f t="shared" si="22"/>
        <v>-1457.2321022556398</v>
      </c>
      <c r="AW15" s="304">
        <f t="shared" si="23"/>
        <v>-0.25732575136293478</v>
      </c>
      <c r="AX15" s="305" t="s">
        <v>375</v>
      </c>
      <c r="AY15" s="207">
        <v>5105</v>
      </c>
      <c r="AZ15" s="207">
        <f t="shared" si="24"/>
        <v>0</v>
      </c>
      <c r="BA15" s="207">
        <f t="shared" si="25"/>
        <v>-1457.2321022556398</v>
      </c>
      <c r="BB15" s="207">
        <f t="shared" si="26"/>
        <v>4205.7538000000004</v>
      </c>
      <c r="BC15" s="304">
        <f t="shared" si="27"/>
        <v>-0.25732575136293478</v>
      </c>
      <c r="BD15" s="306">
        <v>15.884</v>
      </c>
      <c r="BE15" s="199">
        <f t="shared" si="5"/>
        <v>3.1114593535749267E-3</v>
      </c>
      <c r="BI15" s="200">
        <v>3436</v>
      </c>
      <c r="BJ15" s="207">
        <f t="shared" si="28"/>
        <v>-1669</v>
      </c>
      <c r="BK15" s="200">
        <f t="shared" si="29"/>
        <v>3630</v>
      </c>
      <c r="BL15" s="307">
        <f>'FY 2016 by Agency'!BB15*Inflator!$E$13</f>
        <v>4410.8480138541345</v>
      </c>
      <c r="BM15" s="204">
        <f t="shared" si="30"/>
        <v>-1252.1378884015057</v>
      </c>
      <c r="BN15" s="199">
        <f t="shared" si="31"/>
        <v>-0.22110913041523961</v>
      </c>
      <c r="BO15" s="204">
        <f>'FY 2016 by Agency'!AX15*Inflator!$E$13</f>
        <v>3777.8175160207506</v>
      </c>
      <c r="BP15" s="204">
        <f t="shared" si="32"/>
        <v>-1885.1683862348896</v>
      </c>
      <c r="BQ15" s="199">
        <f t="shared" si="33"/>
        <v>-0.3328930035803202</v>
      </c>
      <c r="BR15" s="204">
        <f>'FY 2016 by Agency'!BE15*Inflator!$E$14</f>
        <v>3056.5378426698448</v>
      </c>
      <c r="BS15" s="204">
        <f t="shared" si="34"/>
        <v>-721.2796733509058</v>
      </c>
      <c r="BT15" s="199">
        <f t="shared" si="35"/>
        <v>-0.19092496402807826</v>
      </c>
      <c r="BU15" s="204">
        <f>'FY 2016 by Agency'!BL15*Inflator!$E$14</f>
        <v>3143.499404052443</v>
      </c>
      <c r="BV15" s="204">
        <f t="shared" si="36"/>
        <v>-1267.3486098016915</v>
      </c>
      <c r="BW15" s="309">
        <v>3351</v>
      </c>
      <c r="BX15" s="206">
        <f>'FY 2016 by Agency'!BW15*Inflator!E15</f>
        <v>3592.437115215479</v>
      </c>
      <c r="BY15" s="204">
        <f>'FY 2016 by Agency'!BZ15*Inflator!$E$15</f>
        <v>3374.8416886543532</v>
      </c>
      <c r="BZ15" s="206">
        <f t="shared" si="37"/>
        <v>294.46215733015515</v>
      </c>
      <c r="CA15" s="199">
        <f t="shared" si="38"/>
        <v>9.6338462825294652E-2</v>
      </c>
      <c r="CB15" s="308">
        <f>'FY 2016 by Agency'!CF15*Inflator!$E$16</f>
        <v>3368.9038406006352</v>
      </c>
      <c r="CC15" s="206">
        <f t="shared" si="39"/>
        <v>-5.9378480537179712</v>
      </c>
      <c r="CD15" s="304">
        <f t="shared" si="40"/>
        <v>-1.7594449166845401E-3</v>
      </c>
      <c r="CE15" s="206">
        <f>'FY 2016 by Agency'!CK15*Inflator!$E$17</f>
        <v>3791.8792859166906</v>
      </c>
      <c r="CF15" s="206">
        <f t="shared" si="41"/>
        <v>422.97544531605536</v>
      </c>
      <c r="CG15" s="562">
        <f t="shared" si="42"/>
        <v>0.12555284013112225</v>
      </c>
      <c r="CH15" s="753">
        <f>'FY 2016 by Agency'!CN15*Inflator!$E$18</f>
        <v>7266</v>
      </c>
      <c r="CI15" s="753">
        <f t="shared" si="43"/>
        <v>3474.1207140833094</v>
      </c>
      <c r="CJ15" s="66">
        <f t="shared" si="44"/>
        <v>0.91620024060007421</v>
      </c>
    </row>
    <row r="16" spans="1:88" ht="18" customHeight="1" x14ac:dyDescent="0.25">
      <c r="A16" s="68" t="s">
        <v>137</v>
      </c>
      <c r="B16" s="310" t="s">
        <v>132</v>
      </c>
      <c r="C16" s="310" t="s">
        <v>132</v>
      </c>
      <c r="D16" s="310" t="s">
        <v>132</v>
      </c>
      <c r="E16" s="310" t="s">
        <v>132</v>
      </c>
      <c r="F16" s="310" t="s">
        <v>132</v>
      </c>
      <c r="G16" s="310" t="s">
        <v>132</v>
      </c>
      <c r="H16" s="310" t="s">
        <v>132</v>
      </c>
      <c r="I16" s="310" t="s">
        <v>132</v>
      </c>
      <c r="J16" s="310" t="s">
        <v>132</v>
      </c>
      <c r="K16" s="310" t="s">
        <v>132</v>
      </c>
      <c r="L16" s="204">
        <f>'FY 2016 by Agency'!L16*Inflator!$E$6</f>
        <v>2358.7797164667395</v>
      </c>
      <c r="M16" s="310" t="s">
        <v>132</v>
      </c>
      <c r="N16" s="310" t="s">
        <v>132</v>
      </c>
      <c r="O16" s="204">
        <f>'FY 2016 by Agency'!O16*Inflator!$E$7</f>
        <v>1595.4149947201688</v>
      </c>
      <c r="P16" s="204">
        <f t="shared" si="14"/>
        <v>-763.36472174657069</v>
      </c>
      <c r="Q16" s="304">
        <f t="shared" si="0"/>
        <v>-0.32362696542516867</v>
      </c>
      <c r="R16" s="204">
        <f>'FY 2016 by Agency'!R16*Inflator!$E$8</f>
        <v>1998.4052953156825</v>
      </c>
      <c r="S16" s="204">
        <f t="shared" si="1"/>
        <v>402.99030059551365</v>
      </c>
      <c r="T16" s="304">
        <f t="shared" si="2"/>
        <v>0.25259277487623022</v>
      </c>
      <c r="U16" s="204">
        <f>'FY 2016 by Agency'!U16*Inflator!$E$9</f>
        <v>1851.6744031830237</v>
      </c>
      <c r="V16" s="204">
        <f t="shared" si="15"/>
        <v>-146.73089213265871</v>
      </c>
      <c r="W16" s="304">
        <f t="shared" si="16"/>
        <v>-7.3423990857410151E-2</v>
      </c>
      <c r="X16" s="204">
        <f>'FY 2016 by Agency'!X16*Inflator!$E$10</f>
        <v>2059.5109558590029</v>
      </c>
      <c r="Y16" s="206">
        <f t="shared" si="17"/>
        <v>207.83655267597919</v>
      </c>
      <c r="Z16" s="304">
        <f t="shared" si="45"/>
        <v>0.11224249377682635</v>
      </c>
      <c r="AA16" s="204">
        <f>'FY 2016 by Agency'!AA16*Inflator!$E$11</f>
        <v>1698.7703090156103</v>
      </c>
      <c r="AB16" s="206">
        <f t="shared" si="3"/>
        <v>-360.7406468433926</v>
      </c>
      <c r="AC16" s="304">
        <f t="shared" si="4"/>
        <v>-0.17515840147251416</v>
      </c>
      <c r="AD16" s="204">
        <f>'FY 2016 by Agency'!AD16*Inflator!$E$12</f>
        <v>1172.7810150375942</v>
      </c>
      <c r="AE16" s="204">
        <f>'FY 2016 by Agency'!AE16*Inflator!$B$8</f>
        <v>0</v>
      </c>
      <c r="AF16" s="204">
        <f>'FY 2016 by Agency'!AF16*Inflator!$E$12</f>
        <v>1146.8195488721806</v>
      </c>
      <c r="AG16" s="204">
        <f t="shared" si="18"/>
        <v>-551.95076014342976</v>
      </c>
      <c r="AH16" s="304">
        <f t="shared" si="19"/>
        <v>-0.32491194201720519</v>
      </c>
      <c r="AI16" s="204">
        <f>'FY 2016 by Agency'!AI16*Inflator!$B$8</f>
        <v>0</v>
      </c>
      <c r="AJ16" s="204">
        <f>'FY 2016 by Agency'!AJ16*Inflator!$B$8</f>
        <v>0</v>
      </c>
      <c r="AK16" s="204">
        <f>'FY 2016 by Agency'!AK16</f>
        <v>1062</v>
      </c>
      <c r="AL16" s="204">
        <f>'FY 2016 by Agency'!AL16</f>
        <v>0</v>
      </c>
      <c r="AM16" s="204">
        <f>'FY 2016 by Agency'!AM16</f>
        <v>1062</v>
      </c>
      <c r="AN16" s="204">
        <f>'FY 2016 by Agency'!AN16</f>
        <v>922</v>
      </c>
      <c r="AO16" s="204">
        <f>'FY 2016 by Agency'!AO16</f>
        <v>922</v>
      </c>
      <c r="AP16" s="204">
        <f>'FY 2016 by Agency'!AP16</f>
        <v>131</v>
      </c>
      <c r="AQ16" s="204">
        <f>'FY 2016 by Agency'!AQ16</f>
        <v>20</v>
      </c>
      <c r="AR16" s="204">
        <f>'FY 2016 by Agency'!AR16</f>
        <v>151</v>
      </c>
      <c r="AS16" s="204">
        <f>'FY 2016 by Agency'!AS16</f>
        <v>872.94608000000005</v>
      </c>
      <c r="AT16" s="204">
        <f t="shared" si="20"/>
        <v>-1021.7810150375942</v>
      </c>
      <c r="AU16" s="304">
        <f t="shared" si="21"/>
        <v>-0.8712462104486236</v>
      </c>
      <c r="AV16" s="204">
        <f t="shared" si="22"/>
        <v>-273.87346887218052</v>
      </c>
      <c r="AW16" s="304">
        <f t="shared" si="23"/>
        <v>-0.23881130134336875</v>
      </c>
      <c r="AX16" s="305" t="s">
        <v>376</v>
      </c>
      <c r="AY16" s="207">
        <v>783.35514000000001</v>
      </c>
      <c r="AZ16" s="207">
        <f t="shared" si="24"/>
        <v>-138.64485999999999</v>
      </c>
      <c r="BA16" s="207">
        <f t="shared" si="25"/>
        <v>-412.51832887218052</v>
      </c>
      <c r="BB16" s="207">
        <f t="shared" si="26"/>
        <v>734.30122000000006</v>
      </c>
      <c r="BC16" s="304">
        <f t="shared" si="27"/>
        <v>-0.35970639781809122</v>
      </c>
      <c r="BD16" s="306">
        <v>4.367</v>
      </c>
      <c r="BE16" s="199">
        <f t="shared" si="5"/>
        <v>5.5747384257924188E-3</v>
      </c>
      <c r="BI16" s="200">
        <v>771</v>
      </c>
      <c r="BJ16" s="207">
        <f t="shared" si="28"/>
        <v>-12.355140000000006</v>
      </c>
      <c r="BK16" s="200">
        <f t="shared" si="29"/>
        <v>922</v>
      </c>
      <c r="BL16" s="307">
        <f>'FY 2016 by Agency'!BB16*Inflator!$E$13</f>
        <v>793.76616607873063</v>
      </c>
      <c r="BM16" s="204">
        <f t="shared" si="30"/>
        <v>-353.05338279344994</v>
      </c>
      <c r="BN16" s="199">
        <f t="shared" si="31"/>
        <v>-0.30785434651916604</v>
      </c>
      <c r="BO16" s="204">
        <f>'FY 2016 by Agency'!AX16*Inflator!$E$13</f>
        <v>847.70003051571553</v>
      </c>
      <c r="BP16" s="204">
        <f t="shared" si="32"/>
        <v>-299.11951835646505</v>
      </c>
      <c r="BQ16" s="199">
        <f t="shared" si="33"/>
        <v>-0.26082526989588628</v>
      </c>
      <c r="BR16" s="204">
        <f>'FY 2016 by Agency'!BE16*Inflator!$E$14</f>
        <v>2357.6245530393326</v>
      </c>
      <c r="BS16" s="204">
        <f t="shared" si="34"/>
        <v>1509.924522523617</v>
      </c>
      <c r="BT16" s="199">
        <f t="shared" si="35"/>
        <v>1.7812014488250327</v>
      </c>
      <c r="BU16" s="204">
        <f>'FY 2016 by Agency'!BL16*Inflator!$E$14</f>
        <v>2490.7508939213349</v>
      </c>
      <c r="BV16" s="204">
        <f t="shared" si="36"/>
        <v>1696.9847278426041</v>
      </c>
      <c r="BW16" s="309">
        <v>2962</v>
      </c>
      <c r="BX16" s="206">
        <f>'FY 2016 by Agency'!BW16*Inflator!E15</f>
        <v>3287.0091890941071</v>
      </c>
      <c r="BY16" s="204">
        <f>'FY 2016 by Agency'!BZ16*Inflator!$E$15</f>
        <v>2253.0633245382583</v>
      </c>
      <c r="BZ16" s="206">
        <f t="shared" si="37"/>
        <v>604.37544696066743</v>
      </c>
      <c r="CA16" s="199">
        <f t="shared" si="38"/>
        <v>0.25634931829223467</v>
      </c>
      <c r="CB16" s="308">
        <f>'FY 2016 by Agency'!CF16*Inflator!$E$16</f>
        <v>2407.5489460005774</v>
      </c>
      <c r="CC16" s="206">
        <f t="shared" si="39"/>
        <v>154.48562146231916</v>
      </c>
      <c r="CD16" s="304">
        <f t="shared" si="40"/>
        <v>6.8566923876398095E-2</v>
      </c>
      <c r="CE16" s="206">
        <f>'FY 2016 by Agency'!CK16*Inflator!$E$17</f>
        <v>2985.3136865967699</v>
      </c>
      <c r="CF16" s="206">
        <f t="shared" si="41"/>
        <v>577.7647405961925</v>
      </c>
      <c r="CG16" s="562">
        <f t="shared" si="42"/>
        <v>0.23998047539427012</v>
      </c>
      <c r="CH16" s="753">
        <f>'FY 2016 by Agency'!CN16*Inflator!$E$18</f>
        <v>2923</v>
      </c>
      <c r="CI16" s="753">
        <f t="shared" si="43"/>
        <v>-62.313686596769912</v>
      </c>
      <c r="CJ16" s="66">
        <f t="shared" si="44"/>
        <v>-2.0873413362401772E-2</v>
      </c>
    </row>
    <row r="17" spans="1:88" ht="18" customHeight="1" x14ac:dyDescent="0.25">
      <c r="A17" s="313" t="s">
        <v>138</v>
      </c>
      <c r="B17" s="302">
        <f>'FY 2016 by Agency'!B17*Inflator!$E$2</f>
        <v>15898.883971291865</v>
      </c>
      <c r="C17" s="302">
        <f>'FY 2016 by Agency'!C17*Inflator!$E$3</f>
        <v>14077.873261205565</v>
      </c>
      <c r="D17" s="302">
        <f t="shared" si="6"/>
        <v>-1821.0107100863006</v>
      </c>
      <c r="E17" s="303">
        <f t="shared" si="7"/>
        <v>-0.11453701488572686</v>
      </c>
      <c r="F17" s="204">
        <f>'FY 2016 by Agency'!F18*Inflator!$E$4</f>
        <v>25329.350590026646</v>
      </c>
      <c r="G17" s="204">
        <f t="shared" si="8"/>
        <v>11251.477328821082</v>
      </c>
      <c r="H17" s="199">
        <f t="shared" si="9"/>
        <v>0.79923132706605693</v>
      </c>
      <c r="I17" s="204">
        <f>'FY 2016 by Agency'!I18*Inflator!$E$5</f>
        <v>15181.104499814059</v>
      </c>
      <c r="J17" s="204">
        <f t="shared" si="10"/>
        <v>-10148.246090212588</v>
      </c>
      <c r="K17" s="199">
        <f t="shared" si="11"/>
        <v>-0.40065164932449665</v>
      </c>
      <c r="L17" s="204">
        <f>'FY 2016 by Agency'!L17*Inflator!$E$6</f>
        <v>0</v>
      </c>
      <c r="M17" s="204">
        <f t="shared" si="12"/>
        <v>-15181.104499814059</v>
      </c>
      <c r="N17" s="199">
        <f t="shared" si="13"/>
        <v>-1</v>
      </c>
      <c r="O17" s="204">
        <f>'FY 2016 by Agency'!O17*Inflator!$E$7</f>
        <v>0</v>
      </c>
      <c r="P17" s="204"/>
      <c r="Q17" s="304"/>
      <c r="R17" s="204">
        <f>'FY 2016 by Agency'!R17*Inflator!$E$8</f>
        <v>0</v>
      </c>
      <c r="S17" s="204"/>
      <c r="T17" s="304"/>
      <c r="U17" s="204">
        <f>'FY 2016 by Agency'!U17*Inflator!$E$9</f>
        <v>0</v>
      </c>
      <c r="V17" s="204"/>
      <c r="W17" s="304"/>
      <c r="X17" s="204">
        <f>'FY 2016 by Agency'!X17*Inflator!$E$10</f>
        <v>0</v>
      </c>
      <c r="Y17" s="206"/>
      <c r="Z17" s="304"/>
      <c r="AA17" s="204">
        <f>'FY 2016 by Agency'!AA17*Inflator!$E$11</f>
        <v>0</v>
      </c>
      <c r="AB17" s="206"/>
      <c r="AC17" s="304"/>
      <c r="AD17" s="204">
        <f>'FY 2016 by Agency'!AD17*Inflator!$E$12</f>
        <v>0</v>
      </c>
      <c r="AE17" s="204"/>
      <c r="AF17" s="204">
        <f>'FY 2016 by Agency'!AF17*Inflator!$E$12</f>
        <v>0</v>
      </c>
      <c r="AG17" s="204"/>
      <c r="AH17" s="304"/>
      <c r="AI17" s="204"/>
      <c r="AJ17" s="204"/>
      <c r="AK17" s="204"/>
      <c r="AL17" s="204"/>
      <c r="AM17" s="204"/>
      <c r="AO17" s="204"/>
      <c r="AU17" s="304"/>
      <c r="AV17" s="204"/>
      <c r="AW17" s="304"/>
      <c r="AX17" s="305"/>
      <c r="AY17" s="207"/>
      <c r="AZ17" s="207"/>
      <c r="BA17" s="207"/>
      <c r="BB17" s="207"/>
      <c r="BC17" s="304"/>
      <c r="BD17" s="306"/>
      <c r="BE17" s="199"/>
      <c r="BI17" s="200"/>
      <c r="BJ17" s="207"/>
      <c r="BK17" s="200">
        <f t="shared" si="29"/>
        <v>0</v>
      </c>
      <c r="BL17" s="307">
        <f>'FY 2016 by Agency'!BB17*Inflator!$E$13</f>
        <v>0</v>
      </c>
      <c r="BM17" s="204">
        <f t="shared" si="30"/>
        <v>0</v>
      </c>
      <c r="BN17" s="199" t="e">
        <f t="shared" si="31"/>
        <v>#DIV/0!</v>
      </c>
      <c r="BO17" s="204">
        <f>'FY 2016 by Agency'!AX17*Inflator!$E$13</f>
        <v>0</v>
      </c>
      <c r="BP17" s="204">
        <f t="shared" si="32"/>
        <v>0</v>
      </c>
      <c r="BQ17" s="199" t="e">
        <f t="shared" si="33"/>
        <v>#DIV/0!</v>
      </c>
      <c r="BR17" s="204">
        <f>'FY 2016 by Agency'!BE17*Inflator!$E$14</f>
        <v>0</v>
      </c>
      <c r="BS17" s="204">
        <f t="shared" si="34"/>
        <v>0</v>
      </c>
      <c r="BT17" s="199" t="e">
        <f t="shared" si="35"/>
        <v>#DIV/0!</v>
      </c>
      <c r="BU17" s="204">
        <f>'FY 2016 by Agency'!BL17*Inflator!$E$14</f>
        <v>0</v>
      </c>
      <c r="BV17" s="204">
        <f t="shared" si="36"/>
        <v>0</v>
      </c>
      <c r="BW17" s="206">
        <v>0</v>
      </c>
      <c r="BX17" s="206">
        <f>'FY 2016 by Agency'!BW17*Inflator!E15</f>
        <v>0</v>
      </c>
      <c r="BY17" s="204">
        <f>'FY 2016 by Agency'!BZ17*Inflator!$E$15</f>
        <v>0</v>
      </c>
      <c r="BZ17" s="206">
        <f t="shared" si="37"/>
        <v>0</v>
      </c>
      <c r="CA17" s="199" t="e">
        <f t="shared" si="38"/>
        <v>#DIV/0!</v>
      </c>
      <c r="CB17" s="308">
        <f>'FY 2016 by Agency'!CF17*Inflator!$E$16</f>
        <v>0</v>
      </c>
      <c r="CC17" s="206">
        <f t="shared" si="39"/>
        <v>0</v>
      </c>
      <c r="CD17" s="304" t="e">
        <f t="shared" si="40"/>
        <v>#DIV/0!</v>
      </c>
      <c r="CE17" s="206">
        <f>'FY 2016 by Agency'!CK17*Inflator!$E$17</f>
        <v>0</v>
      </c>
      <c r="CF17" s="206">
        <f t="shared" si="41"/>
        <v>0</v>
      </c>
      <c r="CG17" s="562" t="e">
        <f t="shared" si="42"/>
        <v>#DIV/0!</v>
      </c>
      <c r="CH17" s="753">
        <f>'FY 2016 by Agency'!CN17*Inflator!$E$18</f>
        <v>0</v>
      </c>
      <c r="CI17" s="753">
        <f t="shared" si="43"/>
        <v>0</v>
      </c>
      <c r="CJ17" s="66" t="e">
        <f t="shared" si="44"/>
        <v>#DIV/0!</v>
      </c>
    </row>
    <row r="18" spans="1:88" ht="15.75" customHeight="1" x14ac:dyDescent="0.25">
      <c r="A18" s="68" t="s">
        <v>139</v>
      </c>
      <c r="B18" s="310" t="s">
        <v>132</v>
      </c>
      <c r="C18" s="310" t="s">
        <v>132</v>
      </c>
      <c r="D18" s="310" t="s">
        <v>132</v>
      </c>
      <c r="E18" s="310" t="s">
        <v>132</v>
      </c>
      <c r="F18" s="310" t="s">
        <v>132</v>
      </c>
      <c r="G18" s="310" t="s">
        <v>132</v>
      </c>
      <c r="H18" s="310" t="s">
        <v>132</v>
      </c>
      <c r="I18" s="310" t="s">
        <v>132</v>
      </c>
      <c r="J18" s="310" t="s">
        <v>132</v>
      </c>
      <c r="K18" s="310" t="s">
        <v>132</v>
      </c>
      <c r="L18" s="204">
        <f>'FY 2016 by Agency'!L18*Inflator!$E$6</f>
        <v>12396.363140676118</v>
      </c>
      <c r="M18" s="310" t="s">
        <v>132</v>
      </c>
      <c r="N18" s="310" t="s">
        <v>132</v>
      </c>
      <c r="O18" s="204">
        <f>'FY 2016 by Agency'!O18*Inflator!$E$7</f>
        <v>14320.688489968319</v>
      </c>
      <c r="P18" s="204">
        <f t="shared" si="14"/>
        <v>1924.3253492922013</v>
      </c>
      <c r="Q18" s="304">
        <f t="shared" si="0"/>
        <v>0.1552330572648298</v>
      </c>
      <c r="R18" s="204">
        <f>'FY 2016 by Agency'!R18*Inflator!$E$8</f>
        <v>13164.525458248472</v>
      </c>
      <c r="S18" s="204">
        <f t="shared" si="1"/>
        <v>-1156.1630317198469</v>
      </c>
      <c r="T18" s="304">
        <f t="shared" si="2"/>
        <v>-8.0733760288811685E-2</v>
      </c>
      <c r="U18" s="204">
        <f>'FY 2016 by Agency'!U18*Inflator!$E$9</f>
        <v>13418.068965517239</v>
      </c>
      <c r="V18" s="204">
        <f t="shared" si="15"/>
        <v>253.54350726876692</v>
      </c>
      <c r="W18" s="304">
        <f t="shared" si="16"/>
        <v>1.9259600968746248E-2</v>
      </c>
      <c r="X18" s="204">
        <f>'FY 2016 by Agency'!X18*Inflator!$E$10</f>
        <v>10163.686567164179</v>
      </c>
      <c r="Y18" s="206">
        <f t="shared" si="17"/>
        <v>-3254.3823983530601</v>
      </c>
      <c r="Z18" s="304">
        <f t="shared" si="45"/>
        <v>-0.24253731343283569</v>
      </c>
      <c r="AA18" s="204">
        <f>'FY 2016 by Agency'!AA18*Inflator!$E$11</f>
        <v>11105.136986301372</v>
      </c>
      <c r="AB18" s="206">
        <f t="shared" si="3"/>
        <v>941.45041913719251</v>
      </c>
      <c r="AC18" s="304">
        <f t="shared" si="4"/>
        <v>9.2628832354859927E-2</v>
      </c>
      <c r="AD18" s="204">
        <f>'FY 2016 by Agency'!AD18*Inflator!$E$12</f>
        <v>6104.3308270676698</v>
      </c>
      <c r="AE18" s="204">
        <f>'FY 2016 by Agency'!AE18*Inflator!$B$8</f>
        <v>0</v>
      </c>
      <c r="AF18" s="204">
        <f>'FY 2016 by Agency'!AF18*Inflator!$E$12</f>
        <v>6111.1033834586469</v>
      </c>
      <c r="AG18" s="204">
        <f t="shared" si="18"/>
        <v>-4994.0336028427246</v>
      </c>
      <c r="AH18" s="304">
        <f t="shared" si="19"/>
        <v>-0.4497048175995545</v>
      </c>
      <c r="AI18" s="204">
        <f>'FY 2016 by Agency'!AI18*Inflator!$B$8</f>
        <v>0</v>
      </c>
      <c r="AJ18" s="204">
        <f>'FY 2016 by Agency'!AJ18*Inflator!$B$8</f>
        <v>0</v>
      </c>
      <c r="AK18" s="204">
        <f>'FY 2016 by Agency'!AK18</f>
        <v>5579</v>
      </c>
      <c r="AL18" s="204">
        <f>'FY 2016 by Agency'!AL18</f>
        <v>0</v>
      </c>
      <c r="AM18" s="204">
        <f>'FY 2016 by Agency'!AM18</f>
        <v>5579</v>
      </c>
      <c r="AN18" s="204">
        <f>'FY 2016 by Agency'!AN18</f>
        <v>8981</v>
      </c>
      <c r="AO18" s="204">
        <f>'FY 2016 by Agency'!AO18</f>
        <v>9258</v>
      </c>
      <c r="AP18" s="204">
        <f>'FY 2016 by Agency'!AP18</f>
        <v>601</v>
      </c>
      <c r="AQ18" s="204">
        <f>'FY 2016 by Agency'!AQ18</f>
        <v>77</v>
      </c>
      <c r="AR18" s="204">
        <f>'FY 2016 by Agency'!AR18</f>
        <v>678</v>
      </c>
      <c r="AS18" s="204">
        <f>'FY 2016 by Agency'!AS18</f>
        <v>8998.8401400000002</v>
      </c>
      <c r="AT18" s="204">
        <f t="shared" si="20"/>
        <v>-5426.3308270676698</v>
      </c>
      <c r="AU18" s="304">
        <f t="shared" si="21"/>
        <v>-0.88893131463425445</v>
      </c>
      <c r="AV18" s="204">
        <f t="shared" si="22"/>
        <v>2887.7367565413533</v>
      </c>
      <c r="AW18" s="304">
        <f t="shared" si="23"/>
        <v>0.47253933951727822</v>
      </c>
      <c r="AX18" s="305" t="s">
        <v>377</v>
      </c>
      <c r="AY18" s="207">
        <v>8466.0767999999989</v>
      </c>
      <c r="AZ18" s="207">
        <f t="shared" si="24"/>
        <v>-791.92320000000109</v>
      </c>
      <c r="BA18" s="207">
        <f t="shared" si="25"/>
        <v>2095.8135565413522</v>
      </c>
      <c r="BB18" s="207">
        <f t="shared" si="26"/>
        <v>8206.9169399999992</v>
      </c>
      <c r="BC18" s="304">
        <f t="shared" si="27"/>
        <v>0.34295174292325648</v>
      </c>
      <c r="BD18" s="306">
        <v>81.111000000000004</v>
      </c>
      <c r="BE18" s="199">
        <f t="shared" si="5"/>
        <v>9.5807068511355835E-3</v>
      </c>
      <c r="BF18" s="66">
        <v>209</v>
      </c>
      <c r="BI18" s="200">
        <v>8138</v>
      </c>
      <c r="BJ18" s="207">
        <f t="shared" si="28"/>
        <v>-328.07679999999891</v>
      </c>
      <c r="BK18" s="200">
        <f t="shared" si="29"/>
        <v>8816</v>
      </c>
      <c r="BL18" s="307">
        <f>'FY 2016 by Agency'!BB18*Inflator!$E$13</f>
        <v>9148.6075753494042</v>
      </c>
      <c r="BM18" s="204">
        <f t="shared" si="30"/>
        <v>3037.5041918907573</v>
      </c>
      <c r="BN18" s="199">
        <f t="shared" si="31"/>
        <v>0.49704676901925493</v>
      </c>
      <c r="BO18" s="204">
        <f>'FY 2016 by Agency'!AX18*Inflator!$E$13</f>
        <v>8947.5782728104969</v>
      </c>
      <c r="BP18" s="204">
        <f t="shared" si="32"/>
        <v>2836.4748893518499</v>
      </c>
      <c r="BQ18" s="199">
        <f t="shared" si="33"/>
        <v>0.46415102336994263</v>
      </c>
      <c r="BR18" s="204">
        <f>'FY 2016 by Agency'!BE18*Inflator!$E$14</f>
        <v>9297.3718712753271</v>
      </c>
      <c r="BS18" s="204">
        <f t="shared" si="34"/>
        <v>349.79359846483021</v>
      </c>
      <c r="BT18" s="199">
        <f t="shared" si="35"/>
        <v>3.9093661748427218E-2</v>
      </c>
      <c r="BU18" s="204">
        <f>'FY 2016 by Agency'!BL18*Inflator!$E$14</f>
        <v>9991.9907628128713</v>
      </c>
      <c r="BV18" s="204">
        <f t="shared" si="36"/>
        <v>843.38318746346704</v>
      </c>
      <c r="BW18" s="309">
        <v>7814</v>
      </c>
      <c r="BX18" s="206">
        <f>'FY 2016 by Agency'!BW18*Inflator!E15</f>
        <v>9220.1995294634999</v>
      </c>
      <c r="BY18" s="204">
        <f>'FY 2016 by Agency'!BZ18*Inflator!$E$15</f>
        <v>10322.051011433596</v>
      </c>
      <c r="BZ18" s="206">
        <f t="shared" si="37"/>
        <v>-1483.3718712753271</v>
      </c>
      <c r="CA18" s="199">
        <f t="shared" si="38"/>
        <v>-0.15954743897662899</v>
      </c>
      <c r="CB18" s="308">
        <f>'FY 2016 by Agency'!CF18*Inflator!$E$16</f>
        <v>9257.7227837135433</v>
      </c>
      <c r="CC18" s="206">
        <f t="shared" si="39"/>
        <v>-1064.3282277200524</v>
      </c>
      <c r="CD18" s="304">
        <f t="shared" si="40"/>
        <v>-0.10311208756293788</v>
      </c>
      <c r="CE18" s="206">
        <f>'FY 2016 by Agency'!CK18*Inflator!$E$17</f>
        <v>8858.9489940493077</v>
      </c>
      <c r="CF18" s="206">
        <f t="shared" si="41"/>
        <v>-398.77378966423566</v>
      </c>
      <c r="CG18" s="562">
        <f t="shared" si="42"/>
        <v>-4.307471707467523E-2</v>
      </c>
      <c r="CH18" s="753">
        <f>'FY 2016 by Agency'!CN18*Inflator!$E$18</f>
        <v>8676</v>
      </c>
      <c r="CI18" s="753">
        <f t="shared" si="43"/>
        <v>-182.94899404930766</v>
      </c>
      <c r="CJ18" s="66">
        <f t="shared" si="44"/>
        <v>-2.065132039615504E-2</v>
      </c>
    </row>
    <row r="19" spans="1:88" ht="18" customHeight="1" x14ac:dyDescent="0.25">
      <c r="A19" s="68" t="s">
        <v>378</v>
      </c>
      <c r="B19" s="302" t="e">
        <f>'FY 2016 by Agency'!B19*Inflator!#REF!</f>
        <v>#REF!</v>
      </c>
      <c r="C19" s="302" t="e">
        <f>'FY 2016 by Agency'!C19*Inflator!#REF!</f>
        <v>#REF!</v>
      </c>
      <c r="D19" s="302" t="e">
        <f t="shared" si="6"/>
        <v>#REF!</v>
      </c>
      <c r="E19" s="303" t="e">
        <f t="shared" si="7"/>
        <v>#REF!</v>
      </c>
      <c r="F19" s="204" t="e">
        <f>'FY 2016 by Agency'!F19*Inflator!#REF!</f>
        <v>#VALUE!</v>
      </c>
      <c r="G19" s="204" t="e">
        <f t="shared" si="8"/>
        <v>#VALUE!</v>
      </c>
      <c r="H19" s="199" t="e">
        <f t="shared" si="9"/>
        <v>#VALUE!</v>
      </c>
      <c r="I19" s="204" t="e">
        <f>'FY 2016 by Agency'!I19*Inflator!#REF!</f>
        <v>#VALUE!</v>
      </c>
      <c r="J19" s="204" t="e">
        <f t="shared" si="10"/>
        <v>#VALUE!</v>
      </c>
      <c r="K19" s="199" t="e">
        <f t="shared" si="11"/>
        <v>#VALUE!</v>
      </c>
      <c r="L19" s="204" t="e">
        <f>'FY 2016 by Agency'!L19*Inflator!$E$6</f>
        <v>#VALUE!</v>
      </c>
      <c r="M19" s="204" t="e">
        <f t="shared" si="12"/>
        <v>#VALUE!</v>
      </c>
      <c r="N19" s="199" t="e">
        <f t="shared" si="13"/>
        <v>#VALUE!</v>
      </c>
      <c r="O19" s="204" t="e">
        <f>'FY 2016 by Agency'!O19*Inflator!$E$7</f>
        <v>#VALUE!</v>
      </c>
      <c r="P19" s="204" t="e">
        <f t="shared" si="14"/>
        <v>#VALUE!</v>
      </c>
      <c r="Q19" s="304" t="e">
        <f t="shared" si="0"/>
        <v>#VALUE!</v>
      </c>
      <c r="R19" s="204" t="e">
        <f>'FY 2016 by Agency'!R19*Inflator!$E$8</f>
        <v>#VALUE!</v>
      </c>
      <c r="S19" s="204" t="e">
        <f t="shared" si="1"/>
        <v>#VALUE!</v>
      </c>
      <c r="T19" s="304" t="e">
        <f t="shared" si="2"/>
        <v>#VALUE!</v>
      </c>
      <c r="U19" s="204" t="e">
        <f>'FY 2016 by Agency'!U19*Inflator!$E$9</f>
        <v>#VALUE!</v>
      </c>
      <c r="V19" s="204" t="e">
        <f t="shared" si="15"/>
        <v>#VALUE!</v>
      </c>
      <c r="W19" s="304" t="e">
        <f t="shared" si="16"/>
        <v>#VALUE!</v>
      </c>
      <c r="X19" s="204" t="e">
        <f>'FY 2016 by Agency'!X19*Inflator!$E$10</f>
        <v>#VALUE!</v>
      </c>
      <c r="Y19" s="206" t="e">
        <f t="shared" si="17"/>
        <v>#VALUE!</v>
      </c>
      <c r="Z19" s="304" t="e">
        <f t="shared" si="45"/>
        <v>#VALUE!</v>
      </c>
      <c r="AA19" s="204" t="e">
        <f>'FY 2016 by Agency'!AA19*Inflator!$E$11</f>
        <v>#VALUE!</v>
      </c>
      <c r="AB19" s="206" t="e">
        <f t="shared" si="3"/>
        <v>#VALUE!</v>
      </c>
      <c r="AC19" s="310" t="s">
        <v>132</v>
      </c>
      <c r="AD19" s="204">
        <f>'FY 2016 by Agency'!AD19*Inflator!$E$12</f>
        <v>0</v>
      </c>
      <c r="AE19" s="204">
        <f>'FY 2016 by Agency'!AE19*Inflator!$B$8</f>
        <v>0</v>
      </c>
      <c r="AF19" s="204">
        <f>'FY 2016 by Agency'!AF19*Inflator!$E$12</f>
        <v>0</v>
      </c>
      <c r="AG19" s="204" t="e">
        <f t="shared" si="18"/>
        <v>#VALUE!</v>
      </c>
      <c r="AH19" s="304" t="e">
        <f t="shared" si="19"/>
        <v>#VALUE!</v>
      </c>
      <c r="AI19" s="204">
        <f>'FY 2016 by Agency'!AI19*Inflator!$B$8</f>
        <v>0</v>
      </c>
      <c r="AJ19" s="204">
        <f>'FY 2016 by Agency'!AJ19*Inflator!$B$8</f>
        <v>0</v>
      </c>
      <c r="AK19" s="204">
        <f>'FY 2016 by Agency'!AK19</f>
        <v>0</v>
      </c>
      <c r="AL19" s="204">
        <f>'FY 2016 by Agency'!AL19</f>
        <v>0</v>
      </c>
      <c r="AM19" s="204">
        <f>'FY 2016 by Agency'!AM19</f>
        <v>0</v>
      </c>
      <c r="AN19" s="204">
        <f>'FY 2016 by Agency'!AN19</f>
        <v>0</v>
      </c>
      <c r="AO19" s="204">
        <f>'FY 2016 by Agency'!AO19</f>
        <v>0</v>
      </c>
      <c r="AP19" s="204">
        <f>'FY 2016 by Agency'!AP19</f>
        <v>0</v>
      </c>
      <c r="AQ19" s="204">
        <f>'FY 2016 by Agency'!AQ19</f>
        <v>0</v>
      </c>
      <c r="AR19" s="204">
        <f>'FY 2016 by Agency'!AR19</f>
        <v>0</v>
      </c>
      <c r="AS19" s="204">
        <f>'FY 2016 by Agency'!AS19</f>
        <v>0</v>
      </c>
      <c r="AT19" s="204">
        <f t="shared" si="20"/>
        <v>0</v>
      </c>
      <c r="AU19" s="304" t="e">
        <f t="shared" si="21"/>
        <v>#DIV/0!</v>
      </c>
      <c r="AV19" s="204">
        <f t="shared" si="22"/>
        <v>0</v>
      </c>
      <c r="AW19" s="304" t="e">
        <f t="shared" si="23"/>
        <v>#DIV/0!</v>
      </c>
      <c r="AZ19" s="207">
        <f t="shared" si="24"/>
        <v>0</v>
      </c>
      <c r="BA19" s="207">
        <f t="shared" si="25"/>
        <v>0</v>
      </c>
      <c r="BB19" s="207">
        <f t="shared" si="26"/>
        <v>0</v>
      </c>
      <c r="BC19" s="304"/>
      <c r="BD19" s="306"/>
      <c r="BE19" s="199"/>
      <c r="BI19" s="200"/>
      <c r="BJ19" s="207">
        <f t="shared" si="28"/>
        <v>0</v>
      </c>
      <c r="BK19" s="200">
        <f t="shared" si="29"/>
        <v>0</v>
      </c>
      <c r="BL19" s="307">
        <f>'FY 2016 by Agency'!BB19*Inflator!$E$13</f>
        <v>0</v>
      </c>
      <c r="BM19" s="204">
        <f t="shared" si="30"/>
        <v>0</v>
      </c>
      <c r="BN19" s="199" t="e">
        <f t="shared" si="31"/>
        <v>#DIV/0!</v>
      </c>
      <c r="BO19" s="204">
        <f>'FY 2016 by Agency'!AX19*Inflator!$E$13</f>
        <v>0</v>
      </c>
      <c r="BP19" s="204">
        <f t="shared" si="32"/>
        <v>0</v>
      </c>
      <c r="BQ19" s="199" t="e">
        <f t="shared" si="33"/>
        <v>#DIV/0!</v>
      </c>
      <c r="BR19" s="204">
        <f>'FY 2016 by Agency'!BE19*Inflator!$E$14</f>
        <v>0</v>
      </c>
      <c r="BS19" s="204">
        <f t="shared" si="34"/>
        <v>0</v>
      </c>
      <c r="BT19" s="199" t="e">
        <f t="shared" si="35"/>
        <v>#DIV/0!</v>
      </c>
      <c r="BU19" s="204">
        <f>'FY 2016 by Agency'!BL19*Inflator!$E$14</f>
        <v>0</v>
      </c>
      <c r="BV19" s="204">
        <f t="shared" si="36"/>
        <v>0</v>
      </c>
      <c r="BW19" s="206">
        <v>0</v>
      </c>
      <c r="BX19" s="206">
        <f>'FY 2016 by Agency'!BW19*Inflator!E26</f>
        <v>0</v>
      </c>
      <c r="BY19" s="204">
        <f>'FY 2016 by Agency'!BZ19*Inflator!$E$15</f>
        <v>0</v>
      </c>
      <c r="BZ19" s="206">
        <f t="shared" si="37"/>
        <v>0</v>
      </c>
      <c r="CA19" s="199" t="e">
        <f t="shared" si="38"/>
        <v>#DIV/0!</v>
      </c>
      <c r="CB19" s="308">
        <f>'FY 2016 by Agency'!CF19*Inflator!$E$16</f>
        <v>0</v>
      </c>
      <c r="CC19" s="206">
        <f t="shared" si="39"/>
        <v>0</v>
      </c>
      <c r="CD19" s="304" t="e">
        <f t="shared" si="40"/>
        <v>#DIV/0!</v>
      </c>
      <c r="CE19" s="206">
        <f>'FY 2016 by Agency'!CK19*Inflator!$E$17</f>
        <v>0</v>
      </c>
      <c r="CF19" s="206">
        <f t="shared" si="41"/>
        <v>0</v>
      </c>
      <c r="CG19" s="562" t="e">
        <f t="shared" si="42"/>
        <v>#DIV/0!</v>
      </c>
      <c r="CH19" s="753">
        <f>'FY 2016 by Agency'!CN19*Inflator!$E$18</f>
        <v>0</v>
      </c>
      <c r="CI19" s="753">
        <f t="shared" si="43"/>
        <v>0</v>
      </c>
      <c r="CJ19" s="66" t="e">
        <f t="shared" si="44"/>
        <v>#DIV/0!</v>
      </c>
    </row>
    <row r="20" spans="1:88" ht="18" customHeight="1" x14ac:dyDescent="0.25">
      <c r="A20" s="314" t="s">
        <v>379</v>
      </c>
      <c r="B20" s="310" t="s">
        <v>132</v>
      </c>
      <c r="C20" s="310" t="s">
        <v>132</v>
      </c>
      <c r="D20" s="310" t="s">
        <v>132</v>
      </c>
      <c r="E20" s="310" t="s">
        <v>132</v>
      </c>
      <c r="F20" s="310" t="s">
        <v>132</v>
      </c>
      <c r="G20" s="310" t="s">
        <v>132</v>
      </c>
      <c r="H20" s="310" t="s">
        <v>132</v>
      </c>
      <c r="I20" s="310" t="s">
        <v>132</v>
      </c>
      <c r="J20" s="310" t="s">
        <v>132</v>
      </c>
      <c r="K20" s="310" t="s">
        <v>132</v>
      </c>
      <c r="L20" s="204">
        <f>'FY 2016 by Agency'!L20*Inflator!$E$6</f>
        <v>0</v>
      </c>
      <c r="M20" s="310" t="s">
        <v>132</v>
      </c>
      <c r="N20" s="310" t="s">
        <v>132</v>
      </c>
      <c r="O20" s="204">
        <f>'FY 2016 by Agency'!O20*Inflator!$E$7</f>
        <v>0</v>
      </c>
      <c r="P20" s="204"/>
      <c r="Q20" s="304"/>
      <c r="R20" s="204">
        <f>'FY 2016 by Agency'!R20*Inflator!$E$8</f>
        <v>0</v>
      </c>
      <c r="S20" s="204"/>
      <c r="T20" s="304"/>
      <c r="U20" s="204">
        <f>'FY 2016 by Agency'!U20*Inflator!$E$9</f>
        <v>0</v>
      </c>
      <c r="V20" s="204"/>
      <c r="W20" s="304"/>
      <c r="X20" s="204">
        <f>'FY 2016 by Agency'!X20*Inflator!$E$10</f>
        <v>647.60177834233093</v>
      </c>
      <c r="Y20" s="206">
        <f t="shared" si="17"/>
        <v>647.60177834233093</v>
      </c>
      <c r="Z20" s="311"/>
      <c r="AA20" s="204">
        <f>'FY 2016 by Agency'!AA20*Inflator!$E$11</f>
        <v>1687.2921312519913</v>
      </c>
      <c r="AB20" s="206">
        <f t="shared" si="3"/>
        <v>1039.6903529096603</v>
      </c>
      <c r="AC20" s="304">
        <f t="shared" si="4"/>
        <v>1.6054470319259471</v>
      </c>
      <c r="AD20" s="204">
        <f>'FY 2016 by Agency'!AD20*Inflator!$E$12</f>
        <v>1281.1419172932333</v>
      </c>
      <c r="AE20" s="204">
        <f>'FY 2016 by Agency'!AE20*Inflator!$B$8</f>
        <v>0</v>
      </c>
      <c r="AF20" s="204">
        <f>'FY 2016 by Agency'!AF20*Inflator!$E$12</f>
        <v>1084.7377819548874</v>
      </c>
      <c r="AG20" s="204">
        <f t="shared" si="18"/>
        <v>-602.55434929710395</v>
      </c>
      <c r="AH20" s="304">
        <f t="shared" si="19"/>
        <v>-0.35711323376468379</v>
      </c>
      <c r="AI20" s="204">
        <f>'FY 2016 by Agency'!AI20*Inflator!$B$8</f>
        <v>0</v>
      </c>
      <c r="AJ20" s="204">
        <f>'FY 2016 by Agency'!AJ20*Inflator!$B$8</f>
        <v>0</v>
      </c>
      <c r="AK20" s="204">
        <f>'FY 2016 by Agency'!AK20</f>
        <v>1144</v>
      </c>
      <c r="AL20" s="204">
        <f>'FY 2016 by Agency'!AL20</f>
        <v>0</v>
      </c>
      <c r="AM20" s="204">
        <f>'FY 2016 by Agency'!AM20</f>
        <v>1144</v>
      </c>
      <c r="AN20" s="204">
        <f>'FY 2016 by Agency'!AN20</f>
        <v>972</v>
      </c>
      <c r="AO20" s="204">
        <f>'FY 2016 by Agency'!AO20</f>
        <v>972</v>
      </c>
      <c r="AP20" s="204">
        <f>'FY 2016 by Agency'!AP20</f>
        <v>20</v>
      </c>
      <c r="AQ20" s="204">
        <f>'FY 2016 by Agency'!AQ20</f>
        <v>6</v>
      </c>
      <c r="AR20" s="204">
        <f>'FY 2016 by Agency'!AR20</f>
        <v>26</v>
      </c>
      <c r="AS20" s="204">
        <f>'FY 2016 by Agency'!AS20</f>
        <v>845.15286000000003</v>
      </c>
      <c r="AT20" s="204">
        <f t="shared" si="20"/>
        <v>-1255.1419172932333</v>
      </c>
      <c r="AU20" s="304">
        <f t="shared" si="21"/>
        <v>-0.97970560509413962</v>
      </c>
      <c r="AV20" s="204">
        <f t="shared" si="22"/>
        <v>-239.58492195488736</v>
      </c>
      <c r="AW20" s="304">
        <f t="shared" si="23"/>
        <v>-0.22086897491771088</v>
      </c>
      <c r="AX20" s="305" t="s">
        <v>380</v>
      </c>
      <c r="AY20" s="207">
        <v>1068.79069</v>
      </c>
      <c r="AZ20" s="207">
        <f t="shared" si="24"/>
        <v>96.790690000000041</v>
      </c>
      <c r="BA20" s="207">
        <f t="shared" si="25"/>
        <v>-142.79423195488732</v>
      </c>
      <c r="BB20" s="207">
        <f t="shared" si="26"/>
        <v>941.94355000000007</v>
      </c>
      <c r="BC20" s="304">
        <f t="shared" si="27"/>
        <v>-0.13163940108875627</v>
      </c>
      <c r="BD20" s="306">
        <v>20.957000000000001</v>
      </c>
      <c r="BE20" s="199">
        <f t="shared" si="5"/>
        <v>1.9608142357602311E-2</v>
      </c>
      <c r="BI20" s="200">
        <v>906</v>
      </c>
      <c r="BJ20" s="207">
        <f t="shared" si="28"/>
        <v>-162.79069000000004</v>
      </c>
      <c r="BK20" s="200">
        <f t="shared" si="29"/>
        <v>932</v>
      </c>
      <c r="BL20" s="307">
        <f>'FY 2016 by Agency'!BB20*Inflator!$E$13</f>
        <v>900.64319639304244</v>
      </c>
      <c r="BM20" s="204">
        <f t="shared" si="30"/>
        <v>-184.09458556184495</v>
      </c>
      <c r="BN20" s="199">
        <f t="shared" si="31"/>
        <v>-0.16971344469082131</v>
      </c>
      <c r="BO20" s="204">
        <f>'FY 2016 by Agency'!AX20*Inflator!$E$13</f>
        <v>996.12999694842847</v>
      </c>
      <c r="BP20" s="204">
        <f t="shared" si="32"/>
        <v>-88.607785006458926</v>
      </c>
      <c r="BQ20" s="199">
        <f t="shared" si="33"/>
        <v>-8.1685902787282091E-2</v>
      </c>
      <c r="BR20" s="204">
        <f>'FY 2016 by Agency'!BE20*Inflator!$E$14</f>
        <v>992.0059594755661</v>
      </c>
      <c r="BS20" s="204">
        <f t="shared" si="34"/>
        <v>-4.1240374728623692</v>
      </c>
      <c r="BT20" s="199">
        <f t="shared" si="35"/>
        <v>-4.1400595158222891E-3</v>
      </c>
      <c r="BU20" s="204">
        <f>'FY 2016 by Agency'!BL20*Inflator!$E$14</f>
        <v>1015.625148986889</v>
      </c>
      <c r="BV20" s="204">
        <f t="shared" si="36"/>
        <v>114.98195259384659</v>
      </c>
      <c r="BW20" s="309">
        <v>970</v>
      </c>
      <c r="BX20" s="206">
        <f>'FY 2016 by Agency'!BW20*Inflator!E15</f>
        <v>1050.5919146877748</v>
      </c>
      <c r="BY20" s="204">
        <f>'FY 2016 by Agency'!BZ20*Inflator!$E$15</f>
        <v>950.65963060686011</v>
      </c>
      <c r="BZ20" s="206">
        <f t="shared" si="37"/>
        <v>-22.005959475566101</v>
      </c>
      <c r="CA20" s="199">
        <f t="shared" si="38"/>
        <v>-2.2183293623759853E-2</v>
      </c>
      <c r="CB20" s="308">
        <f>'FY 2016 by Agency'!CF20*Inflator!$E$16</f>
        <v>953.03147559919137</v>
      </c>
      <c r="CC20" s="206">
        <f t="shared" si="39"/>
        <v>2.3718449923312619</v>
      </c>
      <c r="CD20" s="304">
        <f t="shared" si="40"/>
        <v>2.4949465781114303E-3</v>
      </c>
      <c r="CE20" s="206">
        <f>'FY 2016 by Agency'!CK20*Inflator!$E$17</f>
        <v>1064.8707849249081</v>
      </c>
      <c r="CF20" s="206">
        <f t="shared" si="41"/>
        <v>111.83930932571673</v>
      </c>
      <c r="CG20" s="562">
        <f t="shared" si="42"/>
        <v>0.1173511181835846</v>
      </c>
      <c r="CH20" s="753">
        <f>'FY 2016 by Agency'!CN20*Inflator!$E$18</f>
        <v>1070</v>
      </c>
      <c r="CI20" s="753">
        <f t="shared" si="43"/>
        <v>5.1292150750919063</v>
      </c>
      <c r="CJ20" s="66">
        <f t="shared" si="44"/>
        <v>4.8167487996711314E-3</v>
      </c>
    </row>
    <row r="21" spans="1:88" ht="18" customHeight="1" x14ac:dyDescent="0.25">
      <c r="A21" s="68" t="s">
        <v>142</v>
      </c>
      <c r="B21" s="302">
        <f>'FY 2016 by Agency'!B21*Inflator!$E$2</f>
        <v>535.85287081339709</v>
      </c>
      <c r="C21" s="302">
        <f>'FY 2016 by Agency'!C21*Inflator!$E$3</f>
        <v>11168.18624420402</v>
      </c>
      <c r="D21" s="302">
        <f t="shared" si="6"/>
        <v>10632.333373390624</v>
      </c>
      <c r="E21" s="303">
        <f t="shared" si="7"/>
        <v>19.841889355283829</v>
      </c>
      <c r="F21" s="204">
        <f>'FY 2016 by Agency'!F21*Inflator!$E$4</f>
        <v>2981.6985154168256</v>
      </c>
      <c r="G21" s="204">
        <f t="shared" si="8"/>
        <v>-8186.487728787195</v>
      </c>
      <c r="H21" s="199">
        <f t="shared" si="9"/>
        <v>-0.73301855375448777</v>
      </c>
      <c r="I21" s="204">
        <f>'FY 2016 by Agency'!I21*Inflator!$E$5</f>
        <v>3160.8319077724063</v>
      </c>
      <c r="J21" s="204">
        <f t="shared" si="10"/>
        <v>179.13339235558078</v>
      </c>
      <c r="K21" s="199">
        <f t="shared" si="11"/>
        <v>6.0077634083182584E-2</v>
      </c>
      <c r="L21" s="204">
        <f>'FY 2016 by Agency'!L21*Inflator!$E$6</f>
        <v>5543.9836423118868</v>
      </c>
      <c r="M21" s="204">
        <f t="shared" si="12"/>
        <v>2383.1517345394805</v>
      </c>
      <c r="N21" s="199">
        <f t="shared" si="13"/>
        <v>0.75396345141902998</v>
      </c>
      <c r="O21" s="204">
        <f>'FY 2016 by Agency'!O21*Inflator!$E$7</f>
        <v>11960.539598732839</v>
      </c>
      <c r="P21" s="204">
        <f t="shared" si="14"/>
        <v>6416.5559564209525</v>
      </c>
      <c r="Q21" s="304">
        <f t="shared" si="0"/>
        <v>1.1573908529328192</v>
      </c>
      <c r="R21" s="204">
        <f>'FY 2016 by Agency'!R21*Inflator!$E$8</f>
        <v>11848.562118126274</v>
      </c>
      <c r="S21" s="204">
        <f t="shared" si="1"/>
        <v>-111.97748060656522</v>
      </c>
      <c r="T21" s="304">
        <f t="shared" si="2"/>
        <v>-9.362243206688492E-3</v>
      </c>
      <c r="U21" s="204">
        <f>'FY 2016 by Agency'!U21*Inflator!$E$9</f>
        <v>9700.3846153846134</v>
      </c>
      <c r="V21" s="204">
        <f t="shared" si="15"/>
        <v>-2148.1775027416606</v>
      </c>
      <c r="W21" s="304">
        <f t="shared" si="16"/>
        <v>-0.18130280124499804</v>
      </c>
      <c r="X21" s="204">
        <f>'FY 2016 by Agency'!X21*Inflator!$E$10</f>
        <v>5687.6827564306132</v>
      </c>
      <c r="Y21" s="206">
        <f t="shared" si="17"/>
        <v>-4012.7018589540003</v>
      </c>
      <c r="Z21" s="304">
        <f>Y21/U21</f>
        <v>-0.41366420178741536</v>
      </c>
      <c r="AA21" s="204">
        <f>'FY 2016 by Agency'!AA21*Inflator!$E$11</f>
        <v>5131.8932781140502</v>
      </c>
      <c r="AB21" s="206">
        <f t="shared" si="3"/>
        <v>-555.78947831656296</v>
      </c>
      <c r="AC21" s="304">
        <f t="shared" si="4"/>
        <v>-9.7718086981587668E-2</v>
      </c>
      <c r="AD21" s="204">
        <f>'FY 2016 by Agency'!AD21*Inflator!$E$12</f>
        <v>4879.626879699249</v>
      </c>
      <c r="AE21" s="204">
        <f>'FY 2016 by Agency'!AE21*Inflator!$B$8</f>
        <v>0</v>
      </c>
      <c r="AF21" s="204">
        <f>'FY 2016 by Agency'!AF21*Inflator!$E$12</f>
        <v>4850.2791353383464</v>
      </c>
      <c r="AG21" s="204">
        <f t="shared" si="18"/>
        <v>-281.61414277570384</v>
      </c>
      <c r="AH21" s="304">
        <f t="shared" si="19"/>
        <v>-5.4875292122052055E-2</v>
      </c>
      <c r="AI21" s="204">
        <f>'FY 2016 by Agency'!AI21*Inflator!$B$8</f>
        <v>0</v>
      </c>
      <c r="AJ21" s="204">
        <f>'FY 2016 by Agency'!AJ21*Inflator!$B$8</f>
        <v>0</v>
      </c>
      <c r="AK21" s="204">
        <f>'FY 2016 by Agency'!AK21</f>
        <v>4419</v>
      </c>
      <c r="AL21" s="204">
        <f>'FY 2016 by Agency'!AL21</f>
        <v>0</v>
      </c>
      <c r="AM21" s="204">
        <f>'FY 2016 by Agency'!AM21</f>
        <v>4419</v>
      </c>
      <c r="AN21" s="204">
        <f>'FY 2016 by Agency'!AN21</f>
        <v>21021</v>
      </c>
      <c r="AO21" s="204">
        <f>'FY 2016 by Agency'!AO21</f>
        <v>21291</v>
      </c>
      <c r="AP21" s="204">
        <f>'FY 2016 by Agency'!AP21</f>
        <v>163</v>
      </c>
      <c r="AQ21" s="204">
        <f>'FY 2016 by Agency'!AQ21</f>
        <v>0</v>
      </c>
      <c r="AR21" s="204">
        <f>'FY 2016 by Agency'!AR21</f>
        <v>163</v>
      </c>
      <c r="AS21" s="204">
        <f>'FY 2016 by Agency'!AS21</f>
        <v>18037.010310000001</v>
      </c>
      <c r="AT21" s="204">
        <f t="shared" si="20"/>
        <v>-4716.626879699249</v>
      </c>
      <c r="AU21" s="304">
        <f t="shared" si="21"/>
        <v>-0.96659580660190836</v>
      </c>
      <c r="AV21" s="204">
        <f t="shared" si="22"/>
        <v>13186.731174661654</v>
      </c>
      <c r="AW21" s="304">
        <f t="shared" si="23"/>
        <v>2.7187571697853987</v>
      </c>
      <c r="AX21" s="305" t="s">
        <v>381</v>
      </c>
      <c r="AY21" s="207">
        <v>21149.38769</v>
      </c>
      <c r="AZ21" s="207">
        <f t="shared" si="24"/>
        <v>-141.61231000000043</v>
      </c>
      <c r="BA21" s="207">
        <f t="shared" si="25"/>
        <v>13045.118864661654</v>
      </c>
      <c r="BB21" s="207">
        <f t="shared" si="26"/>
        <v>17895.398000000001</v>
      </c>
      <c r="BC21" s="304">
        <f t="shared" si="27"/>
        <v>2.6895604357318401</v>
      </c>
      <c r="BD21" s="306">
        <v>11.462999999999999</v>
      </c>
      <c r="BE21" s="199">
        <f t="shared" si="5"/>
        <v>5.4200150699492897E-4</v>
      </c>
      <c r="BF21" s="66">
        <v>3078</v>
      </c>
      <c r="BI21" s="200">
        <v>18628</v>
      </c>
      <c r="BJ21" s="207">
        <f t="shared" si="28"/>
        <v>-2521.3876899999996</v>
      </c>
      <c r="BK21" s="200">
        <f t="shared" si="29"/>
        <v>18791</v>
      </c>
      <c r="BL21" s="307">
        <f>'FY 2016 by Agency'!BB21*Inflator!$E$13</f>
        <v>19652.138891342693</v>
      </c>
      <c r="BM21" s="204">
        <f t="shared" si="30"/>
        <v>14801.859756004345</v>
      </c>
      <c r="BN21" s="199">
        <f t="shared" si="31"/>
        <v>3.0517542069198447</v>
      </c>
      <c r="BO21" s="204">
        <f>'FY 2016 by Agency'!AX21*Inflator!$E$13</f>
        <v>20481.136405248704</v>
      </c>
      <c r="BP21" s="204">
        <f t="shared" si="32"/>
        <v>15630.857269910357</v>
      </c>
      <c r="BQ21" s="199">
        <f t="shared" si="33"/>
        <v>3.2226716924447643</v>
      </c>
      <c r="BR21" s="204">
        <f>'FY 2016 by Agency'!BE21*Inflator!$E$14</f>
        <v>17753.04171632896</v>
      </c>
      <c r="BS21" s="204">
        <f t="shared" si="34"/>
        <v>-2728.0946889197439</v>
      </c>
      <c r="BT21" s="199">
        <f t="shared" si="35"/>
        <v>-0.13320035738937877</v>
      </c>
      <c r="BU21" s="204">
        <f>'FY 2016 by Agency'!BL21*Inflator!$E$14</f>
        <v>17926.964839094158</v>
      </c>
      <c r="BV21" s="204">
        <f t="shared" si="36"/>
        <v>-1725.1740522485343</v>
      </c>
      <c r="BW21" s="309">
        <f>19667-1360</f>
        <v>18307</v>
      </c>
      <c r="BX21" s="206">
        <f>'FY 2016 by Agency'!BW21*Inflator!E15</f>
        <v>19529.457831134565</v>
      </c>
      <c r="BY21" s="204">
        <f>'FY 2016 by Agency'!BZ21*Inflator!$E$15</f>
        <v>20232.149516270885</v>
      </c>
      <c r="BZ21" s="206">
        <f t="shared" si="37"/>
        <v>553.95828367103968</v>
      </c>
      <c r="CA21" s="199">
        <f t="shared" si="38"/>
        <v>3.1203570211943896E-2</v>
      </c>
      <c r="CB21" s="308">
        <f>'FY 2016 by Agency'!CF21*Inflator!$E$16</f>
        <v>19967.882183078254</v>
      </c>
      <c r="CC21" s="206">
        <f t="shared" si="39"/>
        <v>-264.26733319263076</v>
      </c>
      <c r="CD21" s="304">
        <f t="shared" si="40"/>
        <v>-1.3061752681300842E-2</v>
      </c>
      <c r="CE21" s="206">
        <f>'FY 2016 by Agency'!CK21*Inflator!$E$17</f>
        <v>22164.218475488811</v>
      </c>
      <c r="CF21" s="206">
        <f t="shared" si="41"/>
        <v>2196.3362924105568</v>
      </c>
      <c r="CG21" s="562">
        <f t="shared" si="42"/>
        <v>0.10999345209838217</v>
      </c>
      <c r="CH21" s="753">
        <f>'FY 2016 by Agency'!CN21*Inflator!$E$18</f>
        <v>21883</v>
      </c>
      <c r="CI21" s="753">
        <f t="shared" si="43"/>
        <v>-281.21847548881124</v>
      </c>
      <c r="CJ21" s="66">
        <f t="shared" si="44"/>
        <v>-1.2687949083330322E-2</v>
      </c>
    </row>
    <row r="22" spans="1:88" ht="18" customHeight="1" x14ac:dyDescent="0.25">
      <c r="A22" s="68" t="s">
        <v>143</v>
      </c>
      <c r="B22" s="310" t="s">
        <v>132</v>
      </c>
      <c r="C22" s="310" t="s">
        <v>132</v>
      </c>
      <c r="D22" s="310" t="s">
        <v>132</v>
      </c>
      <c r="E22" s="310" t="s">
        <v>132</v>
      </c>
      <c r="F22" s="310" t="s">
        <v>132</v>
      </c>
      <c r="G22" s="310" t="s">
        <v>132</v>
      </c>
      <c r="H22" s="310" t="s">
        <v>132</v>
      </c>
      <c r="I22" s="310" t="s">
        <v>132</v>
      </c>
      <c r="J22" s="310" t="s">
        <v>132</v>
      </c>
      <c r="K22" s="310" t="s">
        <v>132</v>
      </c>
      <c r="L22" s="204">
        <f>'FY 2016 by Agency'!L22*Inflator!$E$6</f>
        <v>0</v>
      </c>
      <c r="M22" s="310" t="s">
        <v>132</v>
      </c>
      <c r="N22" s="310" t="s">
        <v>132</v>
      </c>
      <c r="O22" s="204">
        <f>'FY 2016 by Agency'!O22*Inflator!$E$7</f>
        <v>0</v>
      </c>
      <c r="P22" s="310" t="s">
        <v>132</v>
      </c>
      <c r="Q22" s="310" t="s">
        <v>132</v>
      </c>
      <c r="R22" s="204">
        <f>'FY 2016 by Agency'!R22*Inflator!$E$8</f>
        <v>0</v>
      </c>
      <c r="S22" s="310" t="s">
        <v>132</v>
      </c>
      <c r="T22" s="310" t="s">
        <v>132</v>
      </c>
      <c r="U22" s="204">
        <f>'FY 2016 by Agency'!U22*Inflator!$E$9</f>
        <v>0</v>
      </c>
      <c r="V22" s="310" t="s">
        <v>132</v>
      </c>
      <c r="W22" s="310" t="s">
        <v>132</v>
      </c>
      <c r="X22" s="204">
        <f>'FY 2016 by Agency'!X22*Inflator!$E$10</f>
        <v>0</v>
      </c>
      <c r="Y22" s="310" t="s">
        <v>132</v>
      </c>
      <c r="Z22" s="311"/>
      <c r="AA22" s="204">
        <f>'FY 2016 by Agency'!AA22*Inflator!$E$11</f>
        <v>1029.5925453966233</v>
      </c>
      <c r="AB22" s="310" t="s">
        <v>132</v>
      </c>
      <c r="AC22" s="310" t="s">
        <v>132</v>
      </c>
      <c r="AD22" s="204">
        <f>'FY 2016 by Agency'!AD22*Inflator!$E$12</f>
        <v>724.66353383458659</v>
      </c>
      <c r="AE22" s="204">
        <f>'FY 2016 by Agency'!AE22*Inflator!$B$8</f>
        <v>0</v>
      </c>
      <c r="AF22" s="204">
        <f>'FY 2016 by Agency'!AF22*Inflator!$E$12</f>
        <v>0</v>
      </c>
      <c r="AG22" s="204">
        <f t="shared" si="18"/>
        <v>-1029.5925453966233</v>
      </c>
      <c r="AH22" s="304">
        <f t="shared" si="19"/>
        <v>-1</v>
      </c>
      <c r="AI22" s="204">
        <f>'FY 2016 by Agency'!AI22*Inflator!$B$8</f>
        <v>0</v>
      </c>
      <c r="AJ22" s="204">
        <f>'FY 2016 by Agency'!AJ22*Inflator!$B$8</f>
        <v>0</v>
      </c>
      <c r="AK22" s="204">
        <f>'FY 2016 by Agency'!AK22</f>
        <v>702</v>
      </c>
      <c r="AL22" s="204">
        <f>'FY 2016 by Agency'!AL22</f>
        <v>0</v>
      </c>
      <c r="AM22" s="204">
        <f>'FY 2016 by Agency'!AM22</f>
        <v>702</v>
      </c>
      <c r="AN22" s="204">
        <f>'FY 2016 by Agency'!AN22</f>
        <v>0</v>
      </c>
      <c r="AO22" s="204">
        <f>'FY 2016 by Agency'!AO22</f>
        <v>0</v>
      </c>
      <c r="AP22" s="204">
        <f>'FY 2016 by Agency'!AP22</f>
        <v>0</v>
      </c>
      <c r="AQ22" s="204">
        <f>'FY 2016 by Agency'!AQ22</f>
        <v>0</v>
      </c>
      <c r="AR22" s="204">
        <f>'FY 2016 by Agency'!AR22</f>
        <v>0</v>
      </c>
      <c r="AS22" s="204">
        <f>'FY 2016 by Agency'!AS22</f>
        <v>0</v>
      </c>
      <c r="AT22" s="204">
        <f t="shared" si="20"/>
        <v>-724.66353383458659</v>
      </c>
      <c r="AU22" s="304">
        <f t="shared" si="21"/>
        <v>-1</v>
      </c>
      <c r="AV22" s="204">
        <f t="shared" si="22"/>
        <v>0</v>
      </c>
      <c r="AW22" s="304" t="e">
        <f t="shared" si="23"/>
        <v>#DIV/0!</v>
      </c>
      <c r="AX22" s="305" t="s">
        <v>382</v>
      </c>
      <c r="AY22" s="207">
        <v>0</v>
      </c>
      <c r="AZ22" s="207">
        <f t="shared" si="24"/>
        <v>0</v>
      </c>
      <c r="BA22" s="207">
        <f t="shared" si="25"/>
        <v>0</v>
      </c>
      <c r="BB22" s="207">
        <f t="shared" si="26"/>
        <v>0</v>
      </c>
      <c r="BC22" s="304" t="e">
        <f t="shared" si="27"/>
        <v>#DIV/0!</v>
      </c>
      <c r="BD22" s="306"/>
      <c r="BE22" s="199"/>
      <c r="BI22" s="200">
        <v>0</v>
      </c>
      <c r="BJ22" s="207">
        <f t="shared" si="28"/>
        <v>0</v>
      </c>
      <c r="BK22" s="200">
        <f t="shared" si="29"/>
        <v>0</v>
      </c>
      <c r="BL22" s="307">
        <f>'FY 2016 by Agency'!BB22*Inflator!$E$13</f>
        <v>0</v>
      </c>
      <c r="BM22" s="204">
        <f t="shared" si="30"/>
        <v>0</v>
      </c>
      <c r="BN22" s="199" t="e">
        <f t="shared" si="31"/>
        <v>#DIV/0!</v>
      </c>
      <c r="BO22" s="204">
        <f>'FY 2016 by Agency'!AX22*Inflator!$E$13</f>
        <v>0</v>
      </c>
      <c r="BP22" s="204">
        <f t="shared" si="32"/>
        <v>0</v>
      </c>
      <c r="BQ22" s="199" t="e">
        <f t="shared" si="33"/>
        <v>#DIV/0!</v>
      </c>
      <c r="BR22" s="204">
        <f>'FY 2016 by Agency'!BE22*Inflator!$E$14</f>
        <v>0</v>
      </c>
      <c r="BS22" s="204">
        <f t="shared" si="34"/>
        <v>0</v>
      </c>
      <c r="BT22" s="199" t="e">
        <f t="shared" si="35"/>
        <v>#DIV/0!</v>
      </c>
      <c r="BU22" s="204">
        <f>'FY 2016 by Agency'!BL22*Inflator!$E$14</f>
        <v>0</v>
      </c>
      <c r="BV22" s="204">
        <f t="shared" si="36"/>
        <v>0</v>
      </c>
      <c r="BW22" s="206">
        <v>0</v>
      </c>
      <c r="BX22" s="206">
        <f>'FY 2016 by Agency'!BW22*Inflator!E15</f>
        <v>55.877660510114332</v>
      </c>
      <c r="BY22" s="204">
        <f>'FY 2016 by Agency'!BZ22*Inflator!$E$15</f>
        <v>0</v>
      </c>
      <c r="BZ22" s="206">
        <f t="shared" si="37"/>
        <v>0</v>
      </c>
      <c r="CA22" s="199" t="e">
        <f t="shared" si="38"/>
        <v>#DIV/0!</v>
      </c>
      <c r="CB22" s="308">
        <f>'FY 2016 by Agency'!CF22*Inflator!$E$16</f>
        <v>0</v>
      </c>
      <c r="CC22" s="206">
        <f t="shared" si="39"/>
        <v>0</v>
      </c>
      <c r="CD22" s="304" t="e">
        <f t="shared" si="40"/>
        <v>#DIV/0!</v>
      </c>
      <c r="CE22" s="206">
        <f>'FY 2016 by Agency'!CK22*Inflator!$E$17</f>
        <v>0</v>
      </c>
      <c r="CF22" s="206">
        <f t="shared" si="41"/>
        <v>0</v>
      </c>
      <c r="CG22" s="562" t="e">
        <f t="shared" si="42"/>
        <v>#DIV/0!</v>
      </c>
      <c r="CH22" s="753">
        <f>'FY 2016 by Agency'!CN22*Inflator!$E$18</f>
        <v>0</v>
      </c>
      <c r="CI22" s="753">
        <f t="shared" si="43"/>
        <v>0</v>
      </c>
      <c r="CJ22" s="66" t="e">
        <f t="shared" si="44"/>
        <v>#DIV/0!</v>
      </c>
    </row>
    <row r="23" spans="1:88" ht="18" customHeight="1" x14ac:dyDescent="0.25">
      <c r="A23" s="314" t="s">
        <v>144</v>
      </c>
      <c r="B23" s="302">
        <f>'FY 2016 by Agency'!B23*Inflator!$E$2</f>
        <v>19793.514354066985</v>
      </c>
      <c r="C23" s="302">
        <f>'FY 2016 by Agency'!C23*Inflator!$E$3</f>
        <v>17704.54057187017</v>
      </c>
      <c r="D23" s="302">
        <f t="shared" si="6"/>
        <v>-2088.9737821968156</v>
      </c>
      <c r="E23" s="303">
        <f t="shared" si="7"/>
        <v>-0.10553829627367779</v>
      </c>
      <c r="F23" s="204">
        <f>'FY 2016 by Agency'!F23*Inflator!$E$4</f>
        <v>17828.472401979445</v>
      </c>
      <c r="G23" s="204">
        <f t="shared" si="8"/>
        <v>123.93183010927532</v>
      </c>
      <c r="H23" s="199">
        <f t="shared" si="9"/>
        <v>7.0000026042011058E-3</v>
      </c>
      <c r="I23" s="204">
        <f>'FY 2016 by Agency'!I23*Inflator!$E$5</f>
        <v>15747.883599851248</v>
      </c>
      <c r="J23" s="204">
        <f t="shared" si="10"/>
        <v>-2080.5888021281971</v>
      </c>
      <c r="K23" s="199">
        <f t="shared" si="11"/>
        <v>-0.11670034062465134</v>
      </c>
      <c r="L23" s="204">
        <f>'FY 2016 by Agency'!L23*Inflator!$E$6</f>
        <v>15543.585605234461</v>
      </c>
      <c r="M23" s="204">
        <f t="shared" si="12"/>
        <v>-204.29799461678704</v>
      </c>
      <c r="N23" s="199">
        <f t="shared" si="13"/>
        <v>-1.2973044493338573E-2</v>
      </c>
      <c r="O23" s="204">
        <f>'FY 2016 by Agency'!O23*Inflator!$E$7</f>
        <v>14178.648363252374</v>
      </c>
      <c r="P23" s="204">
        <f t="shared" si="14"/>
        <v>-1364.9372419820866</v>
      </c>
      <c r="Q23" s="304">
        <f t="shared" si="0"/>
        <v>-8.7813537792877733E-2</v>
      </c>
      <c r="R23" s="204">
        <f>'FY 2016 by Agency'!R23*Inflator!$E$8</f>
        <v>15412.425661914462</v>
      </c>
      <c r="S23" s="204">
        <f t="shared" si="1"/>
        <v>1233.7772986620876</v>
      </c>
      <c r="T23" s="304">
        <f t="shared" si="2"/>
        <v>8.701656653392574E-2</v>
      </c>
      <c r="U23" s="204">
        <f>'FY 2016 by Agency'!U23*Inflator!$E$9</f>
        <v>14555.355437665781</v>
      </c>
      <c r="V23" s="204">
        <f t="shared" si="15"/>
        <v>-857.07022424868046</v>
      </c>
      <c r="W23" s="304">
        <f t="shared" si="16"/>
        <v>-5.5609041889271252E-2</v>
      </c>
      <c r="X23" s="204">
        <f>'FY 2016 by Agency'!X23*Inflator!$E$10</f>
        <v>6930.254366465545</v>
      </c>
      <c r="Y23" s="206">
        <f t="shared" si="17"/>
        <v>-7625.1010712002362</v>
      </c>
      <c r="Z23" s="304">
        <f t="shared" ref="Z23:Z35" si="46">Y23/U23</f>
        <v>-0.5238691080994351</v>
      </c>
      <c r="AA23" s="204">
        <f>'FY 2016 by Agency'!AA23*Inflator!$E$11</f>
        <v>7492.9544440904756</v>
      </c>
      <c r="AB23" s="206">
        <f t="shared" si="3"/>
        <v>562.7000776249306</v>
      </c>
      <c r="AC23" s="304">
        <f t="shared" si="4"/>
        <v>8.1194722137148581E-2</v>
      </c>
      <c r="AD23" s="204">
        <f>'FY 2016 by Agency'!AD23*Inflator!$E$12</f>
        <v>3409.9821428571431</v>
      </c>
      <c r="AE23" s="204">
        <f>'FY 2016 by Agency'!AE23*Inflator!$B$8</f>
        <v>0</v>
      </c>
      <c r="AF23" s="204">
        <f>'FY 2016 by Agency'!AF23*Inflator!$E$12</f>
        <v>3722.6484962406021</v>
      </c>
      <c r="AG23" s="204">
        <f t="shared" si="18"/>
        <v>-3770.3059478498735</v>
      </c>
      <c r="AH23" s="304">
        <f t="shared" si="19"/>
        <v>-0.50318015089807855</v>
      </c>
      <c r="AI23" s="204">
        <f>'FY 2016 by Agency'!AI23*Inflator!$B$8</f>
        <v>0</v>
      </c>
      <c r="AJ23" s="204">
        <f>'FY 2016 by Agency'!AJ23*Inflator!$B$8</f>
        <v>0</v>
      </c>
      <c r="AK23" s="204">
        <f>'FY 2016 by Agency'!AK23</f>
        <v>3181</v>
      </c>
      <c r="AL23" s="204">
        <f>'FY 2016 by Agency'!AL23</f>
        <v>0</v>
      </c>
      <c r="AM23" s="204">
        <f>'FY 2016 by Agency'!AM23</f>
        <v>3181</v>
      </c>
      <c r="AN23" s="204">
        <f>'FY 2016 by Agency'!AN23</f>
        <v>9901</v>
      </c>
      <c r="AO23" s="204">
        <f>'FY 2016 by Agency'!AO23</f>
        <v>11195</v>
      </c>
      <c r="AP23" s="204">
        <f>'FY 2016 by Agency'!AP23</f>
        <v>651</v>
      </c>
      <c r="AQ23" s="204">
        <f>'FY 2016 by Agency'!AQ23</f>
        <v>0</v>
      </c>
      <c r="AR23" s="204">
        <f>'FY 2016 by Agency'!AR23</f>
        <v>651</v>
      </c>
      <c r="AS23" s="204">
        <f>'FY 2016 by Agency'!AS23</f>
        <v>10133.850279999999</v>
      </c>
      <c r="AT23" s="204">
        <f t="shared" si="20"/>
        <v>-2758.9821428571431</v>
      </c>
      <c r="AU23" s="304">
        <f t="shared" si="21"/>
        <v>-0.80908990935226932</v>
      </c>
      <c r="AV23" s="204">
        <f t="shared" si="22"/>
        <v>6411.2017837593967</v>
      </c>
      <c r="AW23" s="304">
        <f t="shared" si="23"/>
        <v>1.7222151890606618</v>
      </c>
      <c r="AX23" s="305" t="s">
        <v>383</v>
      </c>
      <c r="AY23" s="207">
        <v>10593</v>
      </c>
      <c r="AZ23" s="207">
        <f t="shared" si="24"/>
        <v>-602</v>
      </c>
      <c r="BA23" s="207">
        <f t="shared" si="25"/>
        <v>5809.2017837593967</v>
      </c>
      <c r="BB23" s="207">
        <f t="shared" si="26"/>
        <v>9531.8502799999987</v>
      </c>
      <c r="BC23" s="304">
        <f t="shared" si="27"/>
        <v>1.5605023653525025</v>
      </c>
      <c r="BD23" s="306">
        <v>46.091000000000001</v>
      </c>
      <c r="BE23" s="199">
        <f t="shared" si="5"/>
        <v>4.3510809024827719E-3</v>
      </c>
      <c r="BI23" s="200">
        <v>10003</v>
      </c>
      <c r="BJ23" s="207">
        <f t="shared" si="28"/>
        <v>-590</v>
      </c>
      <c r="BK23" s="200">
        <f t="shared" si="29"/>
        <v>10654</v>
      </c>
      <c r="BL23" s="307">
        <f>'FY 2016 by Agency'!BB23*Inflator!$E$13</f>
        <v>10426.21591664327</v>
      </c>
      <c r="BM23" s="204">
        <f t="shared" si="30"/>
        <v>6703.5674204026682</v>
      </c>
      <c r="BN23" s="199">
        <f t="shared" si="31"/>
        <v>1.8007521868294609</v>
      </c>
      <c r="BO23" s="204">
        <f>'FY 2016 by Agency'!AX23*Inflator!$E$13</f>
        <v>10998.110772047605</v>
      </c>
      <c r="BP23" s="204">
        <f t="shared" si="32"/>
        <v>7275.4622758070027</v>
      </c>
      <c r="BQ23" s="199">
        <f t="shared" si="33"/>
        <v>1.9543779873802984</v>
      </c>
      <c r="BR23" s="204">
        <f>'FY 2016 by Agency'!BE23*Inflator!$E$14</f>
        <v>12047.933849821215</v>
      </c>
      <c r="BS23" s="204">
        <f t="shared" si="34"/>
        <v>1049.8230777736098</v>
      </c>
      <c r="BT23" s="199">
        <f t="shared" si="35"/>
        <v>9.5454855795942858E-2</v>
      </c>
      <c r="BU23" s="204">
        <f>'FY 2016 by Agency'!BL23*Inflator!$E$14</f>
        <v>12794.085518474374</v>
      </c>
      <c r="BV23" s="204">
        <f t="shared" si="36"/>
        <v>2367.8696018311039</v>
      </c>
      <c r="BW23" s="309">
        <v>8971</v>
      </c>
      <c r="BX23" s="206">
        <f>'FY 2016 by Agency'!BW23*Inflator!E15</f>
        <v>10305.742973614775</v>
      </c>
      <c r="BY23" s="204">
        <f>'FY 2016 by Agency'!BZ23*Inflator!$E$15</f>
        <v>11333.975373790676</v>
      </c>
      <c r="BZ23" s="206">
        <f t="shared" si="37"/>
        <v>-3076.9338498212146</v>
      </c>
      <c r="CA23" s="199">
        <f t="shared" si="38"/>
        <v>-0.25539099800642373</v>
      </c>
      <c r="CB23" s="308">
        <f>'FY 2016 by Agency'!CF23*Inflator!$E$16</f>
        <v>12635.990470690153</v>
      </c>
      <c r="CC23" s="206">
        <f t="shared" si="39"/>
        <v>1302.0150968994767</v>
      </c>
      <c r="CD23" s="304">
        <f t="shared" si="40"/>
        <v>0.11487717715624562</v>
      </c>
      <c r="CE23" s="206">
        <f>'FY 2016 by Agency'!CK23*Inflator!$E$17</f>
        <v>17504.515443468408</v>
      </c>
      <c r="CF23" s="206">
        <f t="shared" si="41"/>
        <v>4868.5249727782557</v>
      </c>
      <c r="CG23" s="562">
        <f t="shared" si="42"/>
        <v>0.3852903327262755</v>
      </c>
      <c r="CH23" s="753">
        <f>'FY 2016 by Agency'!CN23*Inflator!$E$18</f>
        <v>18676</v>
      </c>
      <c r="CI23" s="753">
        <f t="shared" si="43"/>
        <v>1171.4845565315918</v>
      </c>
      <c r="CJ23" s="66">
        <f t="shared" si="44"/>
        <v>6.6924706388757346E-2</v>
      </c>
    </row>
    <row r="24" spans="1:88" ht="18" customHeight="1" x14ac:dyDescent="0.25">
      <c r="A24" s="314" t="s">
        <v>145</v>
      </c>
      <c r="B24" s="302">
        <f>'FY 2016 by Agency'!B24*Inflator!$E$2</f>
        <v>32244.551435406698</v>
      </c>
      <c r="C24" s="302">
        <f>'FY 2016 by Agency'!C24*Inflator!$E$3</f>
        <v>15694.211360123649</v>
      </c>
      <c r="D24" s="302">
        <f t="shared" si="6"/>
        <v>-16550.340075283049</v>
      </c>
      <c r="E24" s="303">
        <f t="shared" si="7"/>
        <v>-0.51327555628854726</v>
      </c>
      <c r="F24" s="204">
        <f>'FY 2016 by Agency'!F24*Inflator!$E$4</f>
        <v>19061.474685953559</v>
      </c>
      <c r="G24" s="204">
        <f t="shared" si="8"/>
        <v>3367.2633258299102</v>
      </c>
      <c r="H24" s="199">
        <f t="shared" si="9"/>
        <v>0.21455447798960831</v>
      </c>
      <c r="I24" s="204">
        <f>'FY 2016 by Agency'!I24*Inflator!$E$5</f>
        <v>18001.600966902195</v>
      </c>
      <c r="J24" s="204">
        <f t="shared" si="10"/>
        <v>-1059.8737190513639</v>
      </c>
      <c r="K24" s="199">
        <f t="shared" si="11"/>
        <v>-5.5602923515271727E-2</v>
      </c>
      <c r="L24" s="204">
        <f>'FY 2016 by Agency'!L24*Inflator!$E$6</f>
        <v>30106.201744820064</v>
      </c>
      <c r="M24" s="204">
        <f t="shared" si="12"/>
        <v>12104.600777917869</v>
      </c>
      <c r="N24" s="199">
        <f t="shared" si="13"/>
        <v>0.67241801438513327</v>
      </c>
      <c r="O24" s="204">
        <f>'FY 2016 by Agency'!O24*Inflator!$E$7</f>
        <v>56397.53959873283</v>
      </c>
      <c r="P24" s="204">
        <f t="shared" si="14"/>
        <v>26291.337853912766</v>
      </c>
      <c r="Q24" s="304">
        <f t="shared" si="0"/>
        <v>0.87328644366227082</v>
      </c>
      <c r="R24" s="204">
        <f>'FY 2016 by Agency'!R24*Inflator!$E$8</f>
        <v>56888.508146639513</v>
      </c>
      <c r="S24" s="204">
        <f t="shared" si="1"/>
        <v>490.96854790668294</v>
      </c>
      <c r="T24" s="304">
        <f t="shared" si="2"/>
        <v>8.7054958673713888E-3</v>
      </c>
      <c r="U24" s="204">
        <f>'FY 2016 by Agency'!U24*Inflator!$E$9</f>
        <v>45563.136604774532</v>
      </c>
      <c r="V24" s="204">
        <f t="shared" si="15"/>
        <v>-11325.371541864981</v>
      </c>
      <c r="W24" s="304">
        <f t="shared" si="16"/>
        <v>-0.1990801290248633</v>
      </c>
      <c r="X24" s="204">
        <f>'FY 2016 by Agency'!X24*Inflator!$E$10</f>
        <v>73295.706573515403</v>
      </c>
      <c r="Y24" s="206">
        <f t="shared" si="17"/>
        <v>27732.569968740871</v>
      </c>
      <c r="Z24" s="304">
        <f t="shared" si="46"/>
        <v>0.60866244151055204</v>
      </c>
      <c r="AA24" s="204">
        <f>'FY 2016 by Agency'!AA24*Inflator!$E$11</f>
        <v>64792.017840076463</v>
      </c>
      <c r="AB24" s="206">
        <f t="shared" si="3"/>
        <v>-8503.6887334389394</v>
      </c>
      <c r="AC24" s="304">
        <f t="shared" si="4"/>
        <v>-0.11601892022024185</v>
      </c>
      <c r="AD24" s="204">
        <f>'FY 2016 by Agency'!AD24*Inflator!$E$12</f>
        <v>46309.611842105267</v>
      </c>
      <c r="AE24" s="204">
        <f>'FY 2016 by Agency'!AE24*Inflator!$B$8</f>
        <v>0</v>
      </c>
      <c r="AF24" s="204">
        <f>'FY 2016 by Agency'!AF24*Inflator!$E$12</f>
        <v>55933.414473684221</v>
      </c>
      <c r="AG24" s="204">
        <f t="shared" si="18"/>
        <v>-8858.6033663922426</v>
      </c>
      <c r="AH24" s="304">
        <f t="shared" si="19"/>
        <v>-0.13672368389972941</v>
      </c>
      <c r="AI24" s="204">
        <f>'FY 2016 by Agency'!AI24*Inflator!$B$8</f>
        <v>0</v>
      </c>
      <c r="AJ24" s="204">
        <f>'FY 2016 by Agency'!AJ24*Inflator!$B$8</f>
        <v>0</v>
      </c>
      <c r="AK24" s="204">
        <f>'FY 2016 by Agency'!AK24</f>
        <v>46111</v>
      </c>
      <c r="AL24" s="204">
        <f>'FY 2016 by Agency'!AL24</f>
        <v>0</v>
      </c>
      <c r="AM24" s="204">
        <f>'FY 2016 by Agency'!AM24</f>
        <v>46111</v>
      </c>
      <c r="AN24" s="204">
        <f>'FY 2016 by Agency'!AN24</f>
        <v>34853</v>
      </c>
      <c r="AO24" s="204">
        <f>'FY 2016 by Agency'!AO24</f>
        <v>38168</v>
      </c>
      <c r="AP24" s="204">
        <f>'FY 2016 by Agency'!AP24</f>
        <v>8901</v>
      </c>
      <c r="AQ24" s="204">
        <f>'FY 2016 by Agency'!AQ24</f>
        <v>1080</v>
      </c>
      <c r="AR24" s="204">
        <f>'FY 2016 by Agency'!AR24</f>
        <v>9981</v>
      </c>
      <c r="AS24" s="204">
        <f>'FY 2016 by Agency'!AS24</f>
        <v>48550.591870000004</v>
      </c>
      <c r="AT24" s="204">
        <f t="shared" si="20"/>
        <v>-36328.611842105267</v>
      </c>
      <c r="AU24" s="304">
        <f t="shared" si="21"/>
        <v>-0.78447238914394979</v>
      </c>
      <c r="AV24" s="204">
        <f t="shared" si="22"/>
        <v>-7382.822603684217</v>
      </c>
      <c r="AW24" s="304">
        <f t="shared" si="23"/>
        <v>-0.13199306127033811</v>
      </c>
      <c r="AX24" s="305" t="s">
        <v>384</v>
      </c>
      <c r="AY24" s="207">
        <v>36099.060129999998</v>
      </c>
      <c r="AZ24" s="207">
        <f t="shared" si="24"/>
        <v>-2068.939870000002</v>
      </c>
      <c r="BA24" s="207">
        <f t="shared" si="25"/>
        <v>-9451.762473684219</v>
      </c>
      <c r="BB24" s="207">
        <f t="shared" si="26"/>
        <v>46481.652000000002</v>
      </c>
      <c r="BC24" s="304">
        <f t="shared" si="27"/>
        <v>-0.16898239742061738</v>
      </c>
      <c r="BD24" s="306">
        <v>1128.1759999999999</v>
      </c>
      <c r="BE24" s="199">
        <f t="shared" si="5"/>
        <v>3.125222639972372E-2</v>
      </c>
      <c r="BI24" s="200">
        <v>33443</v>
      </c>
      <c r="BJ24" s="207">
        <f t="shared" si="28"/>
        <v>-2656.060129999998</v>
      </c>
      <c r="BK24" s="200">
        <f t="shared" si="29"/>
        <v>43424</v>
      </c>
      <c r="BL24" s="307">
        <f>'FY 2016 by Agency'!BB24*Inflator!$E$13</f>
        <v>42406.542419166923</v>
      </c>
      <c r="BM24" s="204">
        <f t="shared" si="30"/>
        <v>-13526.872054517298</v>
      </c>
      <c r="BN24" s="199">
        <f t="shared" si="31"/>
        <v>-0.24183883965963629</v>
      </c>
      <c r="BO24" s="204">
        <f>'FY 2016 by Agency'!AX24*Inflator!$E$13</f>
        <v>36769.950869697896</v>
      </c>
      <c r="BP24" s="204">
        <f t="shared" si="32"/>
        <v>-19163.463603986325</v>
      </c>
      <c r="BQ24" s="199">
        <f t="shared" si="33"/>
        <v>-0.34261208231802887</v>
      </c>
      <c r="BR24" s="204">
        <f>'FY 2016 by Agency'!BE24*Inflator!$E$14</f>
        <v>46210.944278903451</v>
      </c>
      <c r="BS24" s="204">
        <f t="shared" si="34"/>
        <v>9440.9934092055555</v>
      </c>
      <c r="BT24" s="199">
        <f t="shared" si="35"/>
        <v>0.25675839063972955</v>
      </c>
      <c r="BU24" s="204">
        <f>'FY 2016 by Agency'!BL24*Inflator!$E$14</f>
        <v>59495.664779499399</v>
      </c>
      <c r="BV24" s="204">
        <f t="shared" si="36"/>
        <v>17089.122360332476</v>
      </c>
      <c r="BW24" s="309">
        <v>52142</v>
      </c>
      <c r="BX24" s="206">
        <f>'FY 2016 by Agency'!BW24*Inflator!E15</f>
        <v>66636.676939313984</v>
      </c>
      <c r="BY24" s="204">
        <f>'FY 2016 by Agency'!BZ24*Inflator!$E$15</f>
        <v>48839.610378188212</v>
      </c>
      <c r="BZ24" s="206">
        <f t="shared" si="37"/>
        <v>5931.055721096549</v>
      </c>
      <c r="CA24" s="199">
        <f t="shared" si="38"/>
        <v>0.12834742534798702</v>
      </c>
      <c r="CB24" s="308">
        <f>'FY 2016 by Agency'!CF24*Inflator!$E$16</f>
        <v>62191.546347097887</v>
      </c>
      <c r="CC24" s="206">
        <f t="shared" si="39"/>
        <v>13351.935968909675</v>
      </c>
      <c r="CD24" s="304">
        <f t="shared" si="40"/>
        <v>0.27338334326419306</v>
      </c>
      <c r="CE24" s="206">
        <f>'FY 2016 by Agency'!CK24*Inflator!$E$17</f>
        <v>71586.27033153869</v>
      </c>
      <c r="CF24" s="206">
        <f t="shared" si="41"/>
        <v>9394.7239844408032</v>
      </c>
      <c r="CG24" s="562">
        <f t="shared" si="42"/>
        <v>0.15106110936698391</v>
      </c>
      <c r="CH24" s="753">
        <f>'FY 2016 by Agency'!CN24*Inflator!$E$18</f>
        <v>75447</v>
      </c>
      <c r="CI24" s="753">
        <f t="shared" si="43"/>
        <v>3860.7296684613102</v>
      </c>
      <c r="CJ24" s="66">
        <f t="shared" si="44"/>
        <v>5.3931147000410115E-2</v>
      </c>
    </row>
    <row r="25" spans="1:88" ht="18" customHeight="1" x14ac:dyDescent="0.25">
      <c r="A25" s="314" t="s">
        <v>385</v>
      </c>
      <c r="B25" s="302">
        <f>'FY 2016 by Agency'!B25*Inflator!$E$2</f>
        <v>13406.377990430621</v>
      </c>
      <c r="C25" s="302">
        <f>'FY 2016 by Agency'!C25*Inflator!$E$3</f>
        <v>32776.440880989183</v>
      </c>
      <c r="D25" s="302">
        <f t="shared" si="6"/>
        <v>19370.062890558562</v>
      </c>
      <c r="E25" s="303">
        <f t="shared" si="7"/>
        <v>1.4448393820004759</v>
      </c>
      <c r="F25" s="204">
        <f>'FY 2016 by Agency'!F25*Inflator!$E$4</f>
        <v>19530.536733917015</v>
      </c>
      <c r="G25" s="204">
        <f t="shared" si="8"/>
        <v>-13245.904147072168</v>
      </c>
      <c r="H25" s="199">
        <f t="shared" si="9"/>
        <v>-0.40412881298393161</v>
      </c>
      <c r="I25" s="204">
        <f>'FY 2016 by Agency'!I25*Inflator!$E$5</f>
        <v>9889.8263294905173</v>
      </c>
      <c r="J25" s="204">
        <f t="shared" si="10"/>
        <v>-9640.7104044264979</v>
      </c>
      <c r="K25" s="199">
        <f t="shared" si="11"/>
        <v>-0.49362239941334018</v>
      </c>
      <c r="L25" s="204">
        <f>'FY 2016 by Agency'!L25*Inflator!$E$6</f>
        <v>16816.619411123229</v>
      </c>
      <c r="M25" s="204">
        <f t="shared" si="12"/>
        <v>6926.7930816327116</v>
      </c>
      <c r="N25" s="199">
        <f t="shared" si="13"/>
        <v>0.70039582605992545</v>
      </c>
      <c r="O25" s="204">
        <f>'FY 2016 by Agency'!O25*Inflator!$E$7</f>
        <v>22533.651531151001</v>
      </c>
      <c r="P25" s="204">
        <f t="shared" si="14"/>
        <v>5717.0321200277722</v>
      </c>
      <c r="Q25" s="304">
        <f t="shared" si="0"/>
        <v>0.33996322211147167</v>
      </c>
      <c r="R25" s="204">
        <f>'FY 2016 by Agency'!R25*Inflator!$E$8</f>
        <v>19434.919551934829</v>
      </c>
      <c r="S25" s="204">
        <f t="shared" si="1"/>
        <v>-3098.7319792161725</v>
      </c>
      <c r="T25" s="304">
        <f t="shared" si="2"/>
        <v>-0.13751574949725387</v>
      </c>
      <c r="U25" s="204">
        <f>'FY 2016 by Agency'!U25*Inflator!$E$9</f>
        <v>31114.10311671087</v>
      </c>
      <c r="V25" s="204">
        <f t="shared" si="15"/>
        <v>11679.183564776042</v>
      </c>
      <c r="W25" s="304">
        <f t="shared" si="16"/>
        <v>0.60093809668552656</v>
      </c>
      <c r="X25" s="204">
        <f>'FY 2016 by Agency'!X25*Inflator!$E$10</f>
        <v>24564.244839631632</v>
      </c>
      <c r="Y25" s="206">
        <f t="shared" si="17"/>
        <v>-6549.8582770792382</v>
      </c>
      <c r="Z25" s="304">
        <f t="shared" si="46"/>
        <v>-0.21051091373292447</v>
      </c>
      <c r="AA25" s="204">
        <f>'FY 2016 by Agency'!AA25*Inflator!$E$11</f>
        <v>35722.384835935016</v>
      </c>
      <c r="AB25" s="206">
        <f t="shared" si="3"/>
        <v>11158.139996303384</v>
      </c>
      <c r="AC25" s="304">
        <f t="shared" si="4"/>
        <v>0.45424315174961072</v>
      </c>
      <c r="AD25" s="204">
        <f>'FY 2016 by Agency'!AD25*Inflator!$E$12</f>
        <v>24608.083646616546</v>
      </c>
      <c r="AE25" s="204">
        <f>'FY 2016 by Agency'!AE25*Inflator!$B$8</f>
        <v>0</v>
      </c>
      <c r="AF25" s="204">
        <f>'FY 2016 by Agency'!AF25*Inflator!$E$12</f>
        <v>33507.222744360908</v>
      </c>
      <c r="AG25" s="204">
        <f t="shared" si="18"/>
        <v>-2215.1620915741078</v>
      </c>
      <c r="AH25" s="304">
        <f t="shared" si="19"/>
        <v>-6.2010476113167012E-2</v>
      </c>
      <c r="AI25" s="204">
        <f>'FY 2016 by Agency'!AI25*Inflator!$B$8</f>
        <v>0</v>
      </c>
      <c r="AJ25" s="204">
        <f>'FY 2016 by Agency'!AJ25*Inflator!$B$8</f>
        <v>0</v>
      </c>
      <c r="AK25" s="204">
        <f>'FY 2016 by Agency'!AK25</f>
        <v>23697</v>
      </c>
      <c r="AL25" s="204">
        <f>'FY 2016 by Agency'!AL25</f>
        <v>0</v>
      </c>
      <c r="AM25" s="204">
        <f>'FY 2016 by Agency'!AM25</f>
        <v>23697</v>
      </c>
      <c r="AN25" s="204">
        <f>'FY 2016 by Agency'!AN25</f>
        <v>12209</v>
      </c>
      <c r="AO25" s="204">
        <f>'FY 2016 by Agency'!AO25</f>
        <v>27295</v>
      </c>
      <c r="AP25" s="204">
        <f>'FY 2016 by Agency'!AP25</f>
        <v>7414</v>
      </c>
      <c r="AQ25" s="204">
        <f>'FY 2016 by Agency'!AQ25</f>
        <v>601</v>
      </c>
      <c r="AR25" s="204">
        <f>'FY 2016 by Agency'!AR25</f>
        <v>8015</v>
      </c>
      <c r="AS25" s="204">
        <f>'FY 2016 by Agency'!AS25</f>
        <v>8015</v>
      </c>
      <c r="AT25" s="204">
        <f t="shared" si="20"/>
        <v>-16593.083646616546</v>
      </c>
      <c r="AU25" s="304">
        <f t="shared" si="21"/>
        <v>-0.6742940200017562</v>
      </c>
      <c r="AV25" s="204">
        <f t="shared" si="22"/>
        <v>-25492.222744360908</v>
      </c>
      <c r="AW25" s="304">
        <f t="shared" si="23"/>
        <v>-0.76079784167284104</v>
      </c>
      <c r="AX25" s="305" t="s">
        <v>386</v>
      </c>
      <c r="AY25" s="207">
        <v>26313.013590000002</v>
      </c>
      <c r="AZ25" s="207">
        <f t="shared" si="24"/>
        <v>-981.9864099999977</v>
      </c>
      <c r="BA25" s="207">
        <f t="shared" si="25"/>
        <v>-26474.209154360906</v>
      </c>
      <c r="BB25" s="207">
        <f t="shared" si="26"/>
        <v>7033.0135900000023</v>
      </c>
      <c r="BC25" s="304">
        <f t="shared" si="27"/>
        <v>-0.7901045501843742</v>
      </c>
      <c r="BD25" s="306">
        <v>665.59400000000005</v>
      </c>
      <c r="BE25" s="199">
        <f t="shared" si="5"/>
        <v>2.5295240232496685E-2</v>
      </c>
      <c r="BF25" s="66">
        <v>2233</v>
      </c>
      <c r="BI25" s="200">
        <v>23873</v>
      </c>
      <c r="BJ25" s="207">
        <f t="shared" si="28"/>
        <v>-2440.0135900000023</v>
      </c>
      <c r="BK25" s="200">
        <f t="shared" si="29"/>
        <v>31888</v>
      </c>
      <c r="BL25" s="307">
        <f>'FY 2016 by Agency'!BB25*Inflator!$E$13</f>
        <v>0</v>
      </c>
      <c r="BM25" s="204">
        <f t="shared" si="30"/>
        <v>-33507.222744360908</v>
      </c>
      <c r="BN25" s="199">
        <f t="shared" si="31"/>
        <v>-1</v>
      </c>
      <c r="BO25" s="204">
        <f>'FY 2016 by Agency'!AX25*Inflator!$E$13</f>
        <v>26247.915471467804</v>
      </c>
      <c r="BP25" s="204">
        <f t="shared" si="32"/>
        <v>-7259.3072728931038</v>
      </c>
      <c r="BQ25" s="199">
        <f t="shared" si="33"/>
        <v>-0.21664902902508706</v>
      </c>
      <c r="BR25" s="204">
        <f>'FY 2016 by Agency'!BE25*Inflator!$E$14</f>
        <v>172424.37783075089</v>
      </c>
      <c r="BS25" s="204">
        <f t="shared" si="34"/>
        <v>146176.46235928309</v>
      </c>
      <c r="BT25" s="199">
        <f t="shared" si="35"/>
        <v>5.5690693806973304</v>
      </c>
      <c r="BU25" s="204">
        <f>'FY 2016 by Agency'!BL25*Inflator!$E$14</f>
        <v>172828.05125148984</v>
      </c>
      <c r="BV25" s="204">
        <f t="shared" si="36"/>
        <v>172828.05125148984</v>
      </c>
      <c r="BW25" s="309">
        <f>251379-47782-9794</f>
        <v>193803</v>
      </c>
      <c r="BX25" s="206">
        <f>'FY 2016 by Agency'!BW25*Inflator!E15</f>
        <v>214707.08071328053</v>
      </c>
      <c r="BY25" s="204">
        <f>'FY 2016 by Agency'!BZ25*Inflator!$E$15</f>
        <v>201415.19964819698</v>
      </c>
      <c r="BZ25" s="206">
        <f t="shared" si="37"/>
        <v>21378.622169249109</v>
      </c>
      <c r="CA25" s="199">
        <f t="shared" si="38"/>
        <v>0.12398839675810827</v>
      </c>
      <c r="CB25" s="308">
        <f>'FY 2016 by Agency'!CF25*Inflator!$E$16</f>
        <v>204831.01819231879</v>
      </c>
      <c r="CC25" s="206">
        <f t="shared" si="39"/>
        <v>3415.8185441218084</v>
      </c>
      <c r="CD25" s="304">
        <f t="shared" si="40"/>
        <v>1.6959090227987101E-2</v>
      </c>
      <c r="CE25" s="206">
        <f>'FY 2016 by Agency'!CK25*Inflator!$E$17</f>
        <v>257961.11901388498</v>
      </c>
      <c r="CF25" s="206">
        <f t="shared" si="41"/>
        <v>53130.100821566186</v>
      </c>
      <c r="CG25" s="562">
        <f t="shared" si="42"/>
        <v>0.25938503499348703</v>
      </c>
      <c r="CH25" s="753">
        <f>'FY 2016 by Agency'!CN25*Inflator!$E$18</f>
        <v>284788</v>
      </c>
      <c r="CI25" s="753">
        <f t="shared" si="43"/>
        <v>26826.880986115022</v>
      </c>
      <c r="CJ25" s="66">
        <f t="shared" si="44"/>
        <v>0.10399583118830805</v>
      </c>
    </row>
    <row r="26" spans="1:88" ht="18" customHeight="1" x14ac:dyDescent="0.25">
      <c r="A26" s="68" t="s">
        <v>147</v>
      </c>
      <c r="B26" s="302">
        <f>'FY 2016 by Agency'!B26*Inflator!$E$2</f>
        <v>972.58014354066984</v>
      </c>
      <c r="C26" s="302">
        <f>'FY 2016 by Agency'!C26*Inflator!$E$3</f>
        <v>1027.4397217928904</v>
      </c>
      <c r="D26" s="302">
        <f t="shared" si="6"/>
        <v>54.859578252220558</v>
      </c>
      <c r="E26" s="303">
        <f t="shared" si="7"/>
        <v>5.6406228953538702E-2</v>
      </c>
      <c r="F26" s="204">
        <f>'FY 2016 by Agency'!F26*Inflator!$E$4</f>
        <v>927.15188427864484</v>
      </c>
      <c r="G26" s="204">
        <f t="shared" si="8"/>
        <v>-100.28783751424555</v>
      </c>
      <c r="H26" s="199">
        <f t="shared" si="9"/>
        <v>-9.7609461058447783E-2</v>
      </c>
      <c r="I26" s="204">
        <f>'FY 2016 by Agency'!I26*Inflator!$E$5</f>
        <v>761.06507995537379</v>
      </c>
      <c r="J26" s="204">
        <f t="shared" si="10"/>
        <v>-166.08680432327105</v>
      </c>
      <c r="K26" s="199">
        <f t="shared" si="11"/>
        <v>-0.17913656558277088</v>
      </c>
      <c r="L26" s="204">
        <f>'FY 2016 by Agency'!L26*Inflator!$E$6</f>
        <v>937.74918211559429</v>
      </c>
      <c r="M26" s="204">
        <f t="shared" si="12"/>
        <v>176.6841021602205</v>
      </c>
      <c r="N26" s="199">
        <f t="shared" si="13"/>
        <v>0.23215373666938002</v>
      </c>
      <c r="O26" s="204">
        <f>'FY 2016 by Agency'!O26*Inflator!$E$7</f>
        <v>970.18479408658914</v>
      </c>
      <c r="P26" s="204">
        <f t="shared" si="14"/>
        <v>32.435611970994842</v>
      </c>
      <c r="Q26" s="304">
        <f t="shared" si="0"/>
        <v>3.4588792599977519E-2</v>
      </c>
      <c r="R26" s="204">
        <f>'FY 2016 by Agency'!R26*Inflator!$E$8</f>
        <v>912.36863543788195</v>
      </c>
      <c r="S26" s="204">
        <f t="shared" si="1"/>
        <v>-57.816158648707187</v>
      </c>
      <c r="T26" s="304">
        <f t="shared" si="2"/>
        <v>-5.9592934254489138E-2</v>
      </c>
      <c r="U26" s="204">
        <f>'FY 2016 by Agency'!U26*Inflator!$E$9</f>
        <v>927.03183023872668</v>
      </c>
      <c r="V26" s="204">
        <f t="shared" si="15"/>
        <v>14.663194800844735</v>
      </c>
      <c r="W26" s="304">
        <f t="shared" si="16"/>
        <v>1.6071568257941361E-2</v>
      </c>
      <c r="X26" s="204">
        <f>'FY 2016 by Agency'!X26*Inflator!$E$10</f>
        <v>1075.5223880597016</v>
      </c>
      <c r="Y26" s="206">
        <f t="shared" si="17"/>
        <v>148.49055782097491</v>
      </c>
      <c r="Z26" s="304">
        <f t="shared" si="46"/>
        <v>0.16017848899830767</v>
      </c>
      <c r="AA26" s="204">
        <f>'FY 2016 by Agency'!AA26*Inflator!$E$11</f>
        <v>1115.6788786237657</v>
      </c>
      <c r="AB26" s="206">
        <f t="shared" si="3"/>
        <v>40.156490564064143</v>
      </c>
      <c r="AC26" s="304">
        <f t="shared" si="4"/>
        <v>3.7336731443134853E-2</v>
      </c>
      <c r="AD26" s="204">
        <f>'FY 2016 by Agency'!AD26*Inflator!$E$12</f>
        <v>1241.6353383458647</v>
      </c>
      <c r="AE26" s="204">
        <f>'FY 2016 by Agency'!AE26*Inflator!$B$8</f>
        <v>0</v>
      </c>
      <c r="AF26" s="204">
        <f>'FY 2016 by Agency'!AF26*Inflator!$E$12</f>
        <v>1164.8796992481205</v>
      </c>
      <c r="AG26" s="204">
        <f t="shared" si="18"/>
        <v>49.200820624354719</v>
      </c>
      <c r="AH26" s="304">
        <f t="shared" si="19"/>
        <v>4.4099446146229716E-2</v>
      </c>
      <c r="AI26" s="204">
        <f>'FY 2016 by Agency'!AI26*Inflator!$B$8</f>
        <v>0</v>
      </c>
      <c r="AJ26" s="204">
        <f>'FY 2016 by Agency'!AJ26*Inflator!$B$8</f>
        <v>0</v>
      </c>
      <c r="AK26" s="204">
        <f>'FY 2016 by Agency'!AK26</f>
        <v>1135</v>
      </c>
      <c r="AL26" s="204">
        <f>'FY 2016 by Agency'!AL26</f>
        <v>0</v>
      </c>
      <c r="AM26" s="204">
        <f>'FY 2016 by Agency'!AM26</f>
        <v>1135</v>
      </c>
      <c r="AN26" s="204">
        <f>'FY 2016 by Agency'!AN26</f>
        <v>840</v>
      </c>
      <c r="AO26" s="204">
        <f>'FY 2016 by Agency'!AO26</f>
        <v>840</v>
      </c>
      <c r="AP26" s="204">
        <f>'FY 2016 by Agency'!AP26</f>
        <v>273</v>
      </c>
      <c r="AQ26" s="204">
        <f>'FY 2016 by Agency'!AQ26</f>
        <v>1</v>
      </c>
      <c r="AR26" s="204">
        <f>'FY 2016 by Agency'!AR26</f>
        <v>274</v>
      </c>
      <c r="AS26" s="204">
        <f>'FY 2016 by Agency'!AS26</f>
        <v>1038.7491199999999</v>
      </c>
      <c r="AT26" s="204">
        <f t="shared" si="20"/>
        <v>-967.63533834586474</v>
      </c>
      <c r="AU26" s="304">
        <f t="shared" si="21"/>
        <v>-0.77932329119673005</v>
      </c>
      <c r="AV26" s="204">
        <f t="shared" si="22"/>
        <v>-126.13057924812051</v>
      </c>
      <c r="AW26" s="304">
        <f t="shared" si="23"/>
        <v>-0.1082777726571528</v>
      </c>
      <c r="AX26" s="305" t="s">
        <v>387</v>
      </c>
      <c r="AY26" s="207">
        <v>790</v>
      </c>
      <c r="AZ26" s="207">
        <f t="shared" si="24"/>
        <v>-50</v>
      </c>
      <c r="BA26" s="207">
        <f t="shared" si="25"/>
        <v>-176.13057924812051</v>
      </c>
      <c r="BB26" s="207">
        <f t="shared" si="26"/>
        <v>988.74911999999995</v>
      </c>
      <c r="BC26" s="304">
        <f t="shared" si="27"/>
        <v>-0.15120065991518716</v>
      </c>
      <c r="BD26" s="306">
        <v>0</v>
      </c>
      <c r="BE26" s="199">
        <f t="shared" si="5"/>
        <v>0</v>
      </c>
      <c r="BF26" s="66">
        <v>2</v>
      </c>
      <c r="BI26" s="200">
        <v>774</v>
      </c>
      <c r="BJ26" s="207">
        <f t="shared" si="28"/>
        <v>-16</v>
      </c>
      <c r="BK26" s="200">
        <f t="shared" si="29"/>
        <v>1048</v>
      </c>
      <c r="BL26" s="307">
        <f>'FY 2016 by Agency'!BB26*Inflator!$E$13</f>
        <v>840.82730526701243</v>
      </c>
      <c r="BM26" s="204">
        <f t="shared" si="30"/>
        <v>-324.05239398110803</v>
      </c>
      <c r="BN26" s="199">
        <f t="shared" si="31"/>
        <v>-0.2781852874509444</v>
      </c>
      <c r="BO26" s="204">
        <f>'FY 2016 by Agency'!AX26*Inflator!$E$13</f>
        <v>850.99847421422032</v>
      </c>
      <c r="BP26" s="204">
        <f t="shared" si="32"/>
        <v>-313.88122503390014</v>
      </c>
      <c r="BQ26" s="199">
        <f t="shared" si="33"/>
        <v>-0.26945376869087589</v>
      </c>
      <c r="BR26" s="204">
        <f>'FY 2016 by Agency'!BE26*Inflator!$E$14</f>
        <v>896.45560190703213</v>
      </c>
      <c r="BS26" s="204">
        <f t="shared" si="34"/>
        <v>45.45712769281181</v>
      </c>
      <c r="BT26" s="199">
        <f t="shared" si="35"/>
        <v>5.3416227020600941E-2</v>
      </c>
      <c r="BU26" s="204">
        <f>'FY 2016 by Agency'!BL26*Inflator!$E$14</f>
        <v>965.16597139451721</v>
      </c>
      <c r="BV26" s="204">
        <f t="shared" si="36"/>
        <v>124.33866612750478</v>
      </c>
      <c r="BW26" s="309">
        <v>847</v>
      </c>
      <c r="BX26" s="206">
        <f>'FY 2016 by Agency'!BW26*Inflator!E15</f>
        <v>981.82859102902376</v>
      </c>
      <c r="BY26" s="204">
        <f>'FY 2016 by Agency'!BZ26*Inflator!$E$15</f>
        <v>1099.5963060686015</v>
      </c>
      <c r="BZ26" s="206">
        <f t="shared" si="37"/>
        <v>-49.455601907032133</v>
      </c>
      <c r="CA26" s="199">
        <f t="shared" si="38"/>
        <v>-5.5167932245417522E-2</v>
      </c>
      <c r="CB26" s="308">
        <f>'FY 2016 by Agency'!CF26*Inflator!$E$16</f>
        <v>1111.176436615651</v>
      </c>
      <c r="CC26" s="206">
        <f t="shared" si="39"/>
        <v>11.580130547049521</v>
      </c>
      <c r="CD26" s="304">
        <f t="shared" si="40"/>
        <v>1.0531256319377869E-2</v>
      </c>
      <c r="CE26" s="206">
        <f>'FY 2016 by Agency'!CK26*Inflator!$E$17</f>
        <v>1455.9019552281102</v>
      </c>
      <c r="CF26" s="206">
        <f t="shared" si="41"/>
        <v>344.72551861245915</v>
      </c>
      <c r="CG26" s="562">
        <f t="shared" si="42"/>
        <v>0.31023472713514494</v>
      </c>
      <c r="CH26" s="753">
        <f>'FY 2016 by Agency'!CN26*Inflator!$E$18</f>
        <v>1449</v>
      </c>
      <c r="CI26" s="753">
        <f t="shared" si="43"/>
        <v>-6.9019552281101824</v>
      </c>
      <c r="CJ26" s="66">
        <f t="shared" si="44"/>
        <v>-4.7406730950016384E-3</v>
      </c>
    </row>
    <row r="27" spans="1:88" ht="18" customHeight="1" x14ac:dyDescent="0.25">
      <c r="A27" s="68" t="s">
        <v>388</v>
      </c>
      <c r="B27" s="302">
        <f>'FY 2016 by Agency'!B27*Inflator!$E$2</f>
        <v>5072.644736842105</v>
      </c>
      <c r="C27" s="302">
        <f>'FY 2016 by Agency'!C27*Inflator!$E$3</f>
        <v>4546.908037094282</v>
      </c>
      <c r="D27" s="302">
        <f t="shared" si="6"/>
        <v>-525.73669974782297</v>
      </c>
      <c r="E27" s="303">
        <f t="shared" si="7"/>
        <v>-0.10364153750595829</v>
      </c>
      <c r="F27" s="204">
        <f>'FY 2016 by Agency'!F27*Inflator!$E$4</f>
        <v>5161.0540540540542</v>
      </c>
      <c r="G27" s="204">
        <f t="shared" si="8"/>
        <v>614.14601695977217</v>
      </c>
      <c r="H27" s="199">
        <f t="shared" si="9"/>
        <v>0.13506893298687528</v>
      </c>
      <c r="I27" s="204">
        <f>'FY 2016 by Agency'!I27*Inflator!$E$5</f>
        <v>4614.6269988843442</v>
      </c>
      <c r="J27" s="204">
        <f t="shared" si="10"/>
        <v>-546.42705516971</v>
      </c>
      <c r="K27" s="199">
        <f t="shared" si="11"/>
        <v>-0.105875088585923</v>
      </c>
      <c r="L27" s="204">
        <f>'FY 2016 by Agency'!L27*Inflator!$E$6</f>
        <v>5824.2606324972739</v>
      </c>
      <c r="M27" s="204">
        <f t="shared" si="12"/>
        <v>1209.6336336129298</v>
      </c>
      <c r="N27" s="199">
        <f t="shared" si="13"/>
        <v>0.26213031603754255</v>
      </c>
      <c r="O27" s="204">
        <f>'FY 2016 by Agency'!O27*Inflator!$E$7</f>
        <v>5485.0316789862718</v>
      </c>
      <c r="P27" s="204">
        <f t="shared" si="14"/>
        <v>-339.22895351100215</v>
      </c>
      <c r="Q27" s="304">
        <f t="shared" si="0"/>
        <v>-5.8244123145558928E-2</v>
      </c>
      <c r="R27" s="204">
        <f>'FY 2016 by Agency'!R27*Inflator!$E$8</f>
        <v>5728.5987780040732</v>
      </c>
      <c r="S27" s="204">
        <f t="shared" si="1"/>
        <v>243.56709901780141</v>
      </c>
      <c r="T27" s="304">
        <f t="shared" si="2"/>
        <v>4.4405777992300818E-2</v>
      </c>
      <c r="U27" s="204">
        <f>'FY 2016 by Agency'!U27*Inflator!$E$9</f>
        <v>7124.7652519893891</v>
      </c>
      <c r="V27" s="204">
        <f t="shared" si="15"/>
        <v>1396.1664739853159</v>
      </c>
      <c r="W27" s="304">
        <f t="shared" si="16"/>
        <v>0.24371866979864848</v>
      </c>
      <c r="X27" s="204">
        <f>'FY 2016 by Agency'!X27*Inflator!$E$10</f>
        <v>6001.1860908224835</v>
      </c>
      <c r="Y27" s="206">
        <f t="shared" si="17"/>
        <v>-1123.5791611669056</v>
      </c>
      <c r="Z27" s="304">
        <f t="shared" si="46"/>
        <v>-0.15770051663852053</v>
      </c>
      <c r="AA27" s="204">
        <f>'FY 2016 by Agency'!AA27*Inflator!$E$11</f>
        <v>6122.4600191143682</v>
      </c>
      <c r="AB27" s="206">
        <f t="shared" si="3"/>
        <v>121.27392829188466</v>
      </c>
      <c r="AC27" s="304">
        <f t="shared" si="4"/>
        <v>2.0208326563534985E-2</v>
      </c>
      <c r="AD27" s="204">
        <f>'FY 2016 by Agency'!AD27*Inflator!$E$12</f>
        <v>5861.647556390978</v>
      </c>
      <c r="AE27" s="204">
        <f>'FY 2016 by Agency'!AE27*Inflator!$B$8</f>
        <v>0</v>
      </c>
      <c r="AF27" s="204">
        <f>'FY 2016 by Agency'!AF27*Inflator!$E$12</f>
        <v>5638.1531954887223</v>
      </c>
      <c r="AG27" s="204">
        <f t="shared" si="18"/>
        <v>-484.30682362564585</v>
      </c>
      <c r="AH27" s="304">
        <f t="shared" si="19"/>
        <v>-7.9103305225944498E-2</v>
      </c>
      <c r="AI27" s="204">
        <f>'FY 2016 by Agency'!AI27*Inflator!$B$8</f>
        <v>0</v>
      </c>
      <c r="AJ27" s="204">
        <f>'FY 2016 by Agency'!AJ27*Inflator!$B$8</f>
        <v>0</v>
      </c>
      <c r="AK27" s="204">
        <f>'FY 2016 by Agency'!AK27</f>
        <v>5247</v>
      </c>
      <c r="AL27" s="204">
        <f>'FY 2016 by Agency'!AL27</f>
        <v>0</v>
      </c>
      <c r="AM27" s="204">
        <f>'FY 2016 by Agency'!AM27</f>
        <v>5247</v>
      </c>
      <c r="AN27" s="204">
        <f>'FY 2016 by Agency'!AN27</f>
        <v>3968</v>
      </c>
      <c r="AO27" s="204">
        <f>'FY 2016 by Agency'!AO27</f>
        <v>3968</v>
      </c>
      <c r="AP27" s="204">
        <f>'FY 2016 by Agency'!AP27</f>
        <v>754</v>
      </c>
      <c r="AQ27" s="204">
        <f>'FY 2016 by Agency'!AQ27</f>
        <v>75</v>
      </c>
      <c r="AR27" s="204">
        <f>'FY 2016 by Agency'!AR27</f>
        <v>829</v>
      </c>
      <c r="AS27" s="204">
        <f>'FY 2016 by Agency'!AS27</f>
        <v>5364.7534599999999</v>
      </c>
      <c r="AT27" s="204">
        <f t="shared" si="20"/>
        <v>-5032.647556390978</v>
      </c>
      <c r="AU27" s="304">
        <f t="shared" si="21"/>
        <v>-0.8585721860578025</v>
      </c>
      <c r="AV27" s="204">
        <f t="shared" si="22"/>
        <v>-273.3997354887224</v>
      </c>
      <c r="AW27" s="304">
        <f t="shared" si="23"/>
        <v>-4.8491008670619097E-2</v>
      </c>
      <c r="AX27" s="305" t="s">
        <v>389</v>
      </c>
      <c r="AY27" s="207">
        <v>4132.5792199999996</v>
      </c>
      <c r="AZ27" s="207">
        <f t="shared" si="24"/>
        <v>164.57921999999962</v>
      </c>
      <c r="BA27" s="207">
        <f t="shared" si="25"/>
        <v>-108.82051548872278</v>
      </c>
      <c r="BB27" s="207">
        <f t="shared" si="26"/>
        <v>5529.3326799999995</v>
      </c>
      <c r="BC27" s="304">
        <f t="shared" si="27"/>
        <v>-1.9300737620218222E-2</v>
      </c>
      <c r="BD27" s="306">
        <v>0</v>
      </c>
      <c r="BE27" s="199">
        <f t="shared" si="5"/>
        <v>0</v>
      </c>
      <c r="BI27" s="200">
        <v>4085</v>
      </c>
      <c r="BJ27" s="207">
        <f t="shared" si="28"/>
        <v>-47.579219999999623</v>
      </c>
      <c r="BK27" s="200">
        <f t="shared" si="29"/>
        <v>4914</v>
      </c>
      <c r="BL27" s="307">
        <f>'FY 2016 by Agency'!BB27*Inflator!$E$13</f>
        <v>4986.9758060360082</v>
      </c>
      <c r="BM27" s="204">
        <f t="shared" si="30"/>
        <v>-651.17738945271412</v>
      </c>
      <c r="BN27" s="199">
        <f t="shared" si="31"/>
        <v>-0.11549480244235706</v>
      </c>
      <c r="BO27" s="204">
        <f>'FY 2016 by Agency'!AX27*Inflator!$E$13</f>
        <v>4491.3808361306073</v>
      </c>
      <c r="BP27" s="204">
        <f t="shared" si="32"/>
        <v>-1146.772359358115</v>
      </c>
      <c r="BQ27" s="199">
        <f t="shared" si="33"/>
        <v>-0.20339503372765508</v>
      </c>
      <c r="BR27" s="204">
        <f>'FY 2016 by Agency'!BE27*Inflator!$E$14</f>
        <v>5666.458283671037</v>
      </c>
      <c r="BS27" s="204">
        <f t="shared" si="34"/>
        <v>1175.0774475404296</v>
      </c>
      <c r="BT27" s="199">
        <f t="shared" si="35"/>
        <v>0.2616294387880892</v>
      </c>
      <c r="BU27" s="204">
        <f>'FY 2016 by Agency'!BL27*Inflator!$E$14</f>
        <v>6869.9633492252678</v>
      </c>
      <c r="BV27" s="204">
        <f t="shared" si="36"/>
        <v>1882.9875431892597</v>
      </c>
      <c r="BW27" s="309">
        <v>5836</v>
      </c>
      <c r="BX27" s="206">
        <f>'FY 2016 by Agency'!BW27*Inflator!E15</f>
        <v>7202.202642919965</v>
      </c>
      <c r="BY27" s="204">
        <f>'FY 2016 by Agency'!BZ27*Inflator!$E$15</f>
        <v>7183.8179419525059</v>
      </c>
      <c r="BZ27" s="206">
        <f t="shared" si="37"/>
        <v>169.54171632896305</v>
      </c>
      <c r="CA27" s="199">
        <f t="shared" si="38"/>
        <v>2.9920226681546272E-2</v>
      </c>
      <c r="CB27" s="308">
        <f>'FY 2016 by Agency'!CF27*Inflator!$E$16</f>
        <v>7258.0213687554142</v>
      </c>
      <c r="CC27" s="206">
        <f t="shared" si="39"/>
        <v>74.203426802908325</v>
      </c>
      <c r="CD27" s="304">
        <f t="shared" si="40"/>
        <v>1.0329246565335482E-2</v>
      </c>
      <c r="CE27" s="206">
        <f>'FY 2016 by Agency'!CK27*Inflator!$E$17</f>
        <v>7391.8163785775014</v>
      </c>
      <c r="CF27" s="206">
        <f t="shared" si="41"/>
        <v>133.7950098220872</v>
      </c>
      <c r="CG27" s="562">
        <f t="shared" si="42"/>
        <v>1.8434088717078273E-2</v>
      </c>
      <c r="CH27" s="753">
        <f>'FY 2016 by Agency'!CN27*Inflator!$E$18</f>
        <v>7390</v>
      </c>
      <c r="CI27" s="753">
        <f t="shared" si="43"/>
        <v>-1.8163785775013821</v>
      </c>
      <c r="CJ27" s="66">
        <f t="shared" si="44"/>
        <v>-2.4572831418885035E-4</v>
      </c>
    </row>
    <row r="28" spans="1:88" ht="18" customHeight="1" x14ac:dyDescent="0.25">
      <c r="A28" s="68" t="s">
        <v>149</v>
      </c>
      <c r="B28" s="302">
        <f>'FY 2016 by Agency'!B28*Inflator!$E$2</f>
        <v>1370.5191387559807</v>
      </c>
      <c r="C28" s="302">
        <f>'FY 2016 by Agency'!C28*Inflator!$E$3</f>
        <v>1754.1653786707884</v>
      </c>
      <c r="D28" s="302">
        <f t="shared" si="6"/>
        <v>383.64623991480767</v>
      </c>
      <c r="E28" s="303">
        <f t="shared" si="7"/>
        <v>0.27992767781633687</v>
      </c>
      <c r="F28" s="204">
        <f>'FY 2016 by Agency'!F28*Inflator!$E$4</f>
        <v>1769.2691282832129</v>
      </c>
      <c r="G28" s="204">
        <f t="shared" si="8"/>
        <v>15.103749612424508</v>
      </c>
      <c r="H28" s="199">
        <f t="shared" si="9"/>
        <v>8.6102198778254951E-3</v>
      </c>
      <c r="I28" s="204">
        <f>'FY 2016 by Agency'!I28*Inflator!$E$5</f>
        <v>1668.1796206768317</v>
      </c>
      <c r="J28" s="204">
        <f t="shared" si="10"/>
        <v>-101.08950760638118</v>
      </c>
      <c r="K28" s="199">
        <f t="shared" si="11"/>
        <v>-5.7136308993574116E-2</v>
      </c>
      <c r="L28" s="204">
        <f>'FY 2016 by Agency'!L28*Inflator!$E$6</f>
        <v>1675.1134133042531</v>
      </c>
      <c r="M28" s="204">
        <f t="shared" si="12"/>
        <v>6.933792627421326</v>
      </c>
      <c r="N28" s="199">
        <f t="shared" si="13"/>
        <v>4.1565024182516229E-3</v>
      </c>
      <c r="O28" s="204">
        <f>'FY 2016 by Agency'!O28*Inflator!$E$7</f>
        <v>1638.5343189017949</v>
      </c>
      <c r="P28" s="204">
        <f t="shared" si="14"/>
        <v>-36.579094402458168</v>
      </c>
      <c r="Q28" s="304">
        <f t="shared" si="0"/>
        <v>-2.1836786758398584E-2</v>
      </c>
      <c r="R28" s="204">
        <f>'FY 2016 by Agency'!R28*Inflator!$E$8</f>
        <v>1729.3421588594706</v>
      </c>
      <c r="S28" s="204">
        <f t="shared" si="1"/>
        <v>90.807839957675696</v>
      </c>
      <c r="T28" s="304">
        <f t="shared" si="2"/>
        <v>5.542016356333531E-2</v>
      </c>
      <c r="U28" s="204">
        <f>'FY 2016 by Agency'!U28*Inflator!$E$9</f>
        <v>1785.9698275862067</v>
      </c>
      <c r="V28" s="204">
        <f t="shared" si="15"/>
        <v>56.627668726736147</v>
      </c>
      <c r="W28" s="304">
        <f t="shared" si="16"/>
        <v>3.2745208018338613E-2</v>
      </c>
      <c r="X28" s="204">
        <f>'FY 2016 by Agency'!X28*Inflator!$E$10</f>
        <v>1818.0905049221976</v>
      </c>
      <c r="Y28" s="206">
        <f t="shared" si="17"/>
        <v>32.120677335990877</v>
      </c>
      <c r="Z28" s="304">
        <f t="shared" si="46"/>
        <v>1.7985005591837439E-2</v>
      </c>
      <c r="AA28" s="204">
        <f>'FY 2016 by Agency'!AA28*Inflator!$E$11</f>
        <v>1975.394393118828</v>
      </c>
      <c r="AB28" s="206">
        <f t="shared" si="3"/>
        <v>157.3038881966304</v>
      </c>
      <c r="AC28" s="304">
        <f t="shared" si="4"/>
        <v>8.6521483815439629E-2</v>
      </c>
      <c r="AD28" s="204">
        <f>'FY 2016 by Agency'!AD28*Inflator!$E$12</f>
        <v>1907.6033834586469</v>
      </c>
      <c r="AE28" s="204">
        <f>'FY 2016 by Agency'!AE28*Inflator!$B$8</f>
        <v>0</v>
      </c>
      <c r="AF28" s="204">
        <f>'FY 2016 by Agency'!AF28*Inflator!$E$12</f>
        <v>1846.6503759398499</v>
      </c>
      <c r="AG28" s="204">
        <f t="shared" si="18"/>
        <v>-128.74401717897808</v>
      </c>
      <c r="AH28" s="304">
        <f t="shared" si="19"/>
        <v>-6.5173829402093278E-2</v>
      </c>
      <c r="AI28" s="204">
        <f>'FY 2016 by Agency'!AI28*Inflator!$B$8</f>
        <v>0</v>
      </c>
      <c r="AJ28" s="204">
        <f>'FY 2016 by Agency'!AJ28*Inflator!$B$8</f>
        <v>0</v>
      </c>
      <c r="AK28" s="204">
        <f>'FY 2016 by Agency'!AK28</f>
        <v>1702</v>
      </c>
      <c r="AL28" s="204">
        <f>'FY 2016 by Agency'!AL28</f>
        <v>0</v>
      </c>
      <c r="AM28" s="204">
        <f>'FY 2016 by Agency'!AM28</f>
        <v>1702</v>
      </c>
      <c r="AN28" s="204">
        <f>'FY 2016 by Agency'!AN28</f>
        <v>1395</v>
      </c>
      <c r="AO28" s="204">
        <f>'FY 2016 by Agency'!AO28</f>
        <v>1395</v>
      </c>
      <c r="AP28" s="204">
        <f>'FY 2016 by Agency'!AP28</f>
        <v>168</v>
      </c>
      <c r="AQ28" s="204">
        <f>'FY 2016 by Agency'!AQ28</f>
        <v>2</v>
      </c>
      <c r="AR28" s="204">
        <f>'FY 2016 by Agency'!AR28</f>
        <v>170</v>
      </c>
      <c r="AS28" s="204">
        <f>'FY 2016 by Agency'!AS28</f>
        <v>1543.7620399999998</v>
      </c>
      <c r="AT28" s="204">
        <f t="shared" si="20"/>
        <v>-1737.6033834586469</v>
      </c>
      <c r="AU28" s="304">
        <f t="shared" si="21"/>
        <v>-0.91088294271539005</v>
      </c>
      <c r="AV28" s="204">
        <f t="shared" si="22"/>
        <v>-302.88833593985009</v>
      </c>
      <c r="AW28" s="304">
        <f t="shared" si="23"/>
        <v>-0.1640204014177267</v>
      </c>
      <c r="AX28" s="305" t="s">
        <v>390</v>
      </c>
      <c r="AY28" s="207">
        <v>1443.0546899999999</v>
      </c>
      <c r="AZ28" s="207">
        <f t="shared" si="24"/>
        <v>48.054689999999937</v>
      </c>
      <c r="BA28" s="207">
        <f t="shared" si="25"/>
        <v>-254.83364593985016</v>
      </c>
      <c r="BB28" s="207">
        <f t="shared" si="26"/>
        <v>1591.8167299999998</v>
      </c>
      <c r="BC28" s="304">
        <f t="shared" si="27"/>
        <v>-0.13799777654725409</v>
      </c>
      <c r="BD28" s="306">
        <v>0</v>
      </c>
      <c r="BE28" s="199">
        <f t="shared" si="5"/>
        <v>0</v>
      </c>
      <c r="BF28" s="66">
        <v>6</v>
      </c>
      <c r="BI28" s="200">
        <v>1415</v>
      </c>
      <c r="BJ28" s="207">
        <f t="shared" si="28"/>
        <v>-28.054689999999937</v>
      </c>
      <c r="BK28" s="200">
        <f t="shared" si="29"/>
        <v>1585</v>
      </c>
      <c r="BL28" s="307">
        <f>'FY 2016 by Agency'!BB28*Inflator!$E$13</f>
        <v>1510.4255813610007</v>
      </c>
      <c r="BM28" s="204">
        <f t="shared" si="30"/>
        <v>-336.22479457884924</v>
      </c>
      <c r="BN28" s="199">
        <f t="shared" si="31"/>
        <v>-0.18207279459043682</v>
      </c>
      <c r="BO28" s="204">
        <f>'FY 2016 by Agency'!AX28*Inflator!$E$13</f>
        <v>1555.7659444613976</v>
      </c>
      <c r="BP28" s="204">
        <f t="shared" si="32"/>
        <v>-290.88443147845237</v>
      </c>
      <c r="BQ28" s="199">
        <f t="shared" si="33"/>
        <v>-0.15752003479836144</v>
      </c>
      <c r="BR28" s="204">
        <f>'FY 2016 by Agency'!BE28*Inflator!$E$14</f>
        <v>1496.5977353992848</v>
      </c>
      <c r="BS28" s="204">
        <f t="shared" si="34"/>
        <v>-59.168209062112737</v>
      </c>
      <c r="BT28" s="199">
        <f t="shared" si="35"/>
        <v>-3.8031562056461285E-2</v>
      </c>
      <c r="BU28" s="204">
        <f>'FY 2016 by Agency'!BL28*Inflator!$E$14</f>
        <v>1678.0360548271751</v>
      </c>
      <c r="BV28" s="204">
        <f t="shared" si="36"/>
        <v>167.61047346617443</v>
      </c>
      <c r="BW28" s="309">
        <v>1474</v>
      </c>
      <c r="BX28" s="206">
        <f>'FY 2016 by Agency'!BW28*Inflator!E15</f>
        <v>1736.9227475813543</v>
      </c>
      <c r="BY28" s="204">
        <f>'FY 2016 by Agency'!BZ28*Inflator!$E$15</f>
        <v>2130.5338610378185</v>
      </c>
      <c r="BZ28" s="206">
        <f t="shared" si="37"/>
        <v>-22.597735399284829</v>
      </c>
      <c r="CA28" s="199">
        <f t="shared" si="38"/>
        <v>-1.5099405047045501E-2</v>
      </c>
      <c r="CB28" s="308">
        <f>'FY 2016 by Agency'!CF28*Inflator!$E$16</f>
        <v>2697.8281836557894</v>
      </c>
      <c r="CC28" s="206">
        <f t="shared" si="39"/>
        <v>567.29432261797092</v>
      </c>
      <c r="CD28" s="304">
        <f t="shared" si="40"/>
        <v>0.2662686254334547</v>
      </c>
      <c r="CE28" s="206">
        <f>'FY 2016 by Agency'!CK28*Inflator!$E$17</f>
        <v>2652.4777557381699</v>
      </c>
      <c r="CF28" s="206">
        <f t="shared" si="41"/>
        <v>-45.350427917619527</v>
      </c>
      <c r="CG28" s="562">
        <f t="shared" si="42"/>
        <v>-1.6809976332950081E-2</v>
      </c>
      <c r="CH28" s="753">
        <f>'FY 2016 by Agency'!CN28*Inflator!$E$18</f>
        <v>2677</v>
      </c>
      <c r="CI28" s="753">
        <f t="shared" si="43"/>
        <v>24.52224426183011</v>
      </c>
      <c r="CJ28" s="66">
        <f t="shared" si="44"/>
        <v>9.2450329541050973E-3</v>
      </c>
    </row>
    <row r="29" spans="1:88" ht="18" customHeight="1" x14ac:dyDescent="0.25">
      <c r="A29" s="68" t="s">
        <v>150</v>
      </c>
      <c r="B29" s="302">
        <f>'FY 2016 by Agency'!B29*Inflator!$E$2</f>
        <v>709.68181818181813</v>
      </c>
      <c r="C29" s="302">
        <f>'FY 2016 by Agency'!C29*Inflator!$E$3</f>
        <v>815.82612055641425</v>
      </c>
      <c r="D29" s="302">
        <f t="shared" si="6"/>
        <v>106.14430237459612</v>
      </c>
      <c r="E29" s="303">
        <f t="shared" si="7"/>
        <v>0.14956604446558092</v>
      </c>
      <c r="F29" s="204">
        <f>'FY 2016 by Agency'!F29*Inflator!$E$4</f>
        <v>854.46098210886942</v>
      </c>
      <c r="G29" s="204">
        <f t="shared" si="8"/>
        <v>38.634861552455163</v>
      </c>
      <c r="H29" s="199">
        <f t="shared" si="9"/>
        <v>4.7356735190220683E-2</v>
      </c>
      <c r="I29" s="204">
        <f>'FY 2016 by Agency'!I29*Inflator!$E$5</f>
        <v>836.09966530308668</v>
      </c>
      <c r="J29" s="204">
        <f t="shared" si="10"/>
        <v>-18.361316805782735</v>
      </c>
      <c r="K29" s="199">
        <f t="shared" si="11"/>
        <v>-2.1488771506530027E-2</v>
      </c>
      <c r="L29" s="204">
        <f>'FY 2016 by Agency'!L29*Inflator!$E$6</f>
        <v>855.23773173391498</v>
      </c>
      <c r="M29" s="204">
        <f t="shared" si="12"/>
        <v>19.138066430828303</v>
      </c>
      <c r="N29" s="199">
        <f t="shared" si="13"/>
        <v>2.2889695122519566E-2</v>
      </c>
      <c r="O29" s="204">
        <f>'FY 2016 by Agency'!O29*Inflator!$E$7</f>
        <v>864.92291446673698</v>
      </c>
      <c r="P29" s="204">
        <f t="shared" si="14"/>
        <v>9.6851827328219997</v>
      </c>
      <c r="Q29" s="304">
        <f t="shared" si="0"/>
        <v>1.132455032495607E-2</v>
      </c>
      <c r="R29" s="204">
        <f>'FY 2016 by Agency'!R29*Inflator!$E$8</f>
        <v>938.05193482688389</v>
      </c>
      <c r="S29" s="204">
        <f t="shared" si="1"/>
        <v>73.12902036014691</v>
      </c>
      <c r="T29" s="304">
        <f t="shared" si="2"/>
        <v>8.4549754824375503E-2</v>
      </c>
      <c r="U29" s="204">
        <f>'FY 2016 by Agency'!U29*Inflator!$E$9</f>
        <v>964.06531830238714</v>
      </c>
      <c r="V29" s="204">
        <f t="shared" si="15"/>
        <v>26.013383475503247</v>
      </c>
      <c r="W29" s="304">
        <f t="shared" si="16"/>
        <v>2.7731282789053655E-2</v>
      </c>
      <c r="X29" s="204">
        <f>'FY 2016 by Agency'!X29*Inflator!$E$10</f>
        <v>1054.9272785011115</v>
      </c>
      <c r="Y29" s="206">
        <f t="shared" si="17"/>
        <v>90.861960198724319</v>
      </c>
      <c r="Z29" s="304">
        <f t="shared" si="46"/>
        <v>9.4248759366971344E-2</v>
      </c>
      <c r="AA29" s="204">
        <f>'FY 2016 by Agency'!AA29*Inflator!$E$11</f>
        <v>1124.861420834661</v>
      </c>
      <c r="AB29" s="206">
        <f t="shared" si="3"/>
        <v>69.934142333549516</v>
      </c>
      <c r="AC29" s="304">
        <f t="shared" si="4"/>
        <v>6.6292856160583044E-2</v>
      </c>
      <c r="AD29" s="204">
        <f>'FY 2016 by Agency'!AD29*Inflator!$E$12</f>
        <v>1133.2744360902257</v>
      </c>
      <c r="AE29" s="204">
        <f>'FY 2016 by Agency'!AE29*Inflator!$B$8</f>
        <v>0</v>
      </c>
      <c r="AF29" s="204">
        <f>'FY 2016 by Agency'!AF29*Inflator!$E$12</f>
        <v>1190.8411654135339</v>
      </c>
      <c r="AG29" s="204">
        <f t="shared" si="18"/>
        <v>65.979744578872896</v>
      </c>
      <c r="AH29" s="304">
        <f t="shared" si="19"/>
        <v>5.8655887166896625E-2</v>
      </c>
      <c r="AI29" s="204">
        <f>'FY 2016 by Agency'!AI29*Inflator!$B$8</f>
        <v>0</v>
      </c>
      <c r="AJ29" s="204">
        <f>'FY 2016 by Agency'!AJ29*Inflator!$B$8</f>
        <v>0</v>
      </c>
      <c r="AK29" s="204">
        <f>'FY 2016 by Agency'!AK29</f>
        <v>971</v>
      </c>
      <c r="AL29" s="204">
        <f>'FY 2016 by Agency'!AL29</f>
        <v>0</v>
      </c>
      <c r="AM29" s="204">
        <f>'FY 2016 by Agency'!AM29</f>
        <v>971</v>
      </c>
      <c r="AN29" s="204">
        <f>'FY 2016 by Agency'!AN29</f>
        <v>0</v>
      </c>
      <c r="AO29" s="204">
        <f>'FY 2016 by Agency'!AO29</f>
        <v>0</v>
      </c>
      <c r="AP29" s="204">
        <f>'FY 2016 by Agency'!AP29</f>
        <v>0</v>
      </c>
      <c r="AQ29" s="204">
        <f>'FY 2016 by Agency'!AQ29</f>
        <v>0</v>
      </c>
      <c r="AR29" s="204">
        <f>'FY 2016 by Agency'!AR29</f>
        <v>0</v>
      </c>
      <c r="AS29" s="204">
        <f>'FY 2016 by Agency'!AS29</f>
        <v>733.01909999999998</v>
      </c>
      <c r="AT29" s="204">
        <f t="shared" si="20"/>
        <v>-1133.2744360902257</v>
      </c>
      <c r="AU29" s="304">
        <f t="shared" si="21"/>
        <v>-1</v>
      </c>
      <c r="AV29" s="204">
        <f t="shared" si="22"/>
        <v>-457.82206541353389</v>
      </c>
      <c r="AW29" s="304">
        <f t="shared" si="23"/>
        <v>-0.38445266985253207</v>
      </c>
      <c r="AX29" s="305" t="s">
        <v>391</v>
      </c>
      <c r="AY29" s="207">
        <v>879</v>
      </c>
      <c r="AZ29" s="207">
        <f t="shared" si="24"/>
        <v>879</v>
      </c>
      <c r="BA29" s="207">
        <f t="shared" si="25"/>
        <v>421.17793458646611</v>
      </c>
      <c r="BB29" s="207">
        <f t="shared" si="26"/>
        <v>1612.0191</v>
      </c>
      <c r="BC29" s="304">
        <f t="shared" si="27"/>
        <v>0.35368103389355632</v>
      </c>
      <c r="BD29" s="306">
        <v>0</v>
      </c>
      <c r="BE29" s="199">
        <f t="shared" si="5"/>
        <v>0</v>
      </c>
      <c r="BI29" s="200">
        <v>869</v>
      </c>
      <c r="BJ29" s="207">
        <f t="shared" si="28"/>
        <v>-10</v>
      </c>
      <c r="BK29" s="200">
        <f t="shared" si="29"/>
        <v>869</v>
      </c>
      <c r="BL29" s="307">
        <f>'FY 2016 by Agency'!BB29*Inflator!$E$13</f>
        <v>805.94074375953608</v>
      </c>
      <c r="BM29" s="204">
        <f t="shared" si="30"/>
        <v>-384.9004216539978</v>
      </c>
      <c r="BN29" s="199">
        <f t="shared" si="31"/>
        <v>-0.32321726258122468</v>
      </c>
      <c r="BO29" s="204">
        <f>'FY 2016 by Agency'!AX29*Inflator!$E$13</f>
        <v>955.44919133353676</v>
      </c>
      <c r="BP29" s="204">
        <f t="shared" si="32"/>
        <v>-235.39197407999711</v>
      </c>
      <c r="BQ29" s="199">
        <f t="shared" si="33"/>
        <v>-0.19766865717835211</v>
      </c>
      <c r="BR29" s="204">
        <f>'FY 2016 by Agency'!BE29*Inflator!$E$14</f>
        <v>1195.9898688915375</v>
      </c>
      <c r="BS29" s="204">
        <f t="shared" si="34"/>
        <v>240.54067755800077</v>
      </c>
      <c r="BT29" s="199">
        <f t="shared" si="35"/>
        <v>0.25175663943184046</v>
      </c>
      <c r="BU29" s="204">
        <f>'FY 2016 by Agency'!BL29*Inflator!$E$14</f>
        <v>1204.578665077473</v>
      </c>
      <c r="BV29" s="204">
        <f t="shared" si="36"/>
        <v>398.63792131793696</v>
      </c>
      <c r="BW29" s="206">
        <v>971</v>
      </c>
      <c r="BX29" s="206">
        <f>'FY 2016 by Agency'!BW29*Inflator!E15</f>
        <v>1226.6076015831134</v>
      </c>
      <c r="BY29" s="204">
        <f>'FY 2016 by Agency'!BZ29*Inflator!$E$15</f>
        <v>1095.3711521547932</v>
      </c>
      <c r="BZ29" s="206">
        <f t="shared" si="37"/>
        <v>-224.98986889153753</v>
      </c>
      <c r="CA29" s="199">
        <f t="shared" si="38"/>
        <v>-0.18812021300821027</v>
      </c>
      <c r="CB29" s="308">
        <f>'FY 2016 by Agency'!CF29*Inflator!$E$16</f>
        <v>1210.0170372509383</v>
      </c>
      <c r="CC29" s="206">
        <f t="shared" si="39"/>
        <v>114.64588509614509</v>
      </c>
      <c r="CD29" s="304">
        <f t="shared" si="40"/>
        <v>0.10466396241184177</v>
      </c>
      <c r="CE29" s="206">
        <f>'FY 2016 by Agency'!CK29*Inflator!$E$17</f>
        <v>1279.2742986681781</v>
      </c>
      <c r="CF29" s="206">
        <f t="shared" si="41"/>
        <v>69.257261417239761</v>
      </c>
      <c r="CG29" s="562">
        <f t="shared" si="42"/>
        <v>5.7236600217288436E-2</v>
      </c>
      <c r="CH29" s="753">
        <f>'FY 2016 by Agency'!CN29*Inflator!$E$18</f>
        <v>1249</v>
      </c>
      <c r="CI29" s="753">
        <f t="shared" si="43"/>
        <v>-30.274298668178062</v>
      </c>
      <c r="CJ29" s="66">
        <f t="shared" si="44"/>
        <v>-2.3665212925559367E-2</v>
      </c>
    </row>
    <row r="30" spans="1:88" ht="18" customHeight="1" x14ac:dyDescent="0.25">
      <c r="A30" s="68" t="s">
        <v>151</v>
      </c>
      <c r="B30" s="302">
        <f>'FY 2016 by Agency'!B30*Inflator!$E$2</f>
        <v>1923.6112440191387</v>
      </c>
      <c r="C30" s="302">
        <f>'FY 2016 by Agency'!C30*Inflator!$E$3</f>
        <v>1949.0726429675426</v>
      </c>
      <c r="D30" s="302">
        <f t="shared" si="6"/>
        <v>25.461398948403939</v>
      </c>
      <c r="E30" s="303">
        <f t="shared" si="7"/>
        <v>1.3236249802327843E-2</v>
      </c>
      <c r="F30" s="204">
        <f>'FY 2016 by Agency'!F30*Inflator!$E$4</f>
        <v>2036.716787209745</v>
      </c>
      <c r="G30" s="204">
        <f t="shared" si="8"/>
        <v>87.644144242202401</v>
      </c>
      <c r="H30" s="199">
        <f t="shared" si="9"/>
        <v>4.4967099896677333E-2</v>
      </c>
      <c r="I30" s="204">
        <f>'FY 2016 by Agency'!I30*Inflator!$E$5</f>
        <v>1928.1208627742658</v>
      </c>
      <c r="J30" s="204">
        <f t="shared" si="10"/>
        <v>-108.59592443547922</v>
      </c>
      <c r="K30" s="199">
        <f t="shared" si="11"/>
        <v>-5.3319109027550722E-2</v>
      </c>
      <c r="L30" s="204">
        <f>'FY 2016 by Agency'!L30*Inflator!$E$6</f>
        <v>1893.834242093784</v>
      </c>
      <c r="M30" s="204">
        <f t="shared" si="12"/>
        <v>-34.286620680481747</v>
      </c>
      <c r="N30" s="199">
        <f t="shared" si="13"/>
        <v>-1.7782402204366294E-2</v>
      </c>
      <c r="O30" s="204">
        <f>'FY 2016 by Agency'!O30*Inflator!$E$7</f>
        <v>1823.6937697993662</v>
      </c>
      <c r="P30" s="204">
        <f t="shared" si="14"/>
        <v>-70.140472294417805</v>
      </c>
      <c r="Q30" s="304">
        <f t="shared" si="0"/>
        <v>-3.7036225629161687E-2</v>
      </c>
      <c r="R30" s="204">
        <f>'FY 2016 by Agency'!R30*Inflator!$E$8</f>
        <v>1929.9164969450103</v>
      </c>
      <c r="S30" s="204">
        <f t="shared" si="1"/>
        <v>106.22272714564406</v>
      </c>
      <c r="T30" s="304">
        <f t="shared" si="2"/>
        <v>5.8245923139458963E-2</v>
      </c>
      <c r="U30" s="204">
        <f>'FY 2016 by Agency'!U30*Inflator!$E$9</f>
        <v>1973.5265251989388</v>
      </c>
      <c r="V30" s="204">
        <f t="shared" si="15"/>
        <v>43.610028253928476</v>
      </c>
      <c r="W30" s="304">
        <f t="shared" si="16"/>
        <v>2.2596847233008067E-2</v>
      </c>
      <c r="X30" s="204">
        <f>'FY 2016 by Agency'!X30*Inflator!$E$10</f>
        <v>2030.906637027628</v>
      </c>
      <c r="Y30" s="206">
        <f t="shared" si="17"/>
        <v>57.380111828689223</v>
      </c>
      <c r="Z30" s="304">
        <f t="shared" si="46"/>
        <v>2.9074912901363256E-2</v>
      </c>
      <c r="AA30" s="204">
        <f>'FY 2016 by Agency'!AA30*Inflator!$E$11</f>
        <v>2040.8200063714562</v>
      </c>
      <c r="AB30" s="206">
        <f t="shared" si="3"/>
        <v>9.913369343828208</v>
      </c>
      <c r="AC30" s="304">
        <f t="shared" si="4"/>
        <v>4.8812531128152245E-3</v>
      </c>
      <c r="AD30" s="204">
        <f>'FY 2016 by Agency'!AD30*Inflator!$E$12</f>
        <v>2029.5093984962409</v>
      </c>
      <c r="AE30" s="204">
        <f>'FY 2016 by Agency'!AE30*Inflator!$B$8</f>
        <v>0</v>
      </c>
      <c r="AF30" s="204">
        <f>'FY 2016 by Agency'!AF30*Inflator!$E$12</f>
        <v>1978.7152255639101</v>
      </c>
      <c r="AG30" s="204">
        <f t="shared" si="18"/>
        <v>-62.104780807546149</v>
      </c>
      <c r="AH30" s="304">
        <f t="shared" si="19"/>
        <v>-3.0431287724372817E-2</v>
      </c>
      <c r="AI30" s="204">
        <f>'FY 2016 by Agency'!AI30*Inflator!$B$8</f>
        <v>0</v>
      </c>
      <c r="AJ30" s="204">
        <f>'FY 2016 by Agency'!AJ30*Inflator!$B$8</f>
        <v>0</v>
      </c>
      <c r="AK30" s="204">
        <f>'FY 2016 by Agency'!AK30</f>
        <v>1970</v>
      </c>
      <c r="AL30" s="204">
        <f>'FY 2016 by Agency'!AL30</f>
        <v>0</v>
      </c>
      <c r="AM30" s="204">
        <f>'FY 2016 by Agency'!AM30</f>
        <v>1970</v>
      </c>
      <c r="AN30" s="204">
        <f>'FY 2016 by Agency'!AN30</f>
        <v>0</v>
      </c>
      <c r="AO30" s="204">
        <f>'FY 2016 by Agency'!AO30</f>
        <v>0</v>
      </c>
      <c r="AP30" s="204">
        <f>'FY 2016 by Agency'!AP30</f>
        <v>0</v>
      </c>
      <c r="AQ30" s="204">
        <f>'FY 2016 by Agency'!AQ30</f>
        <v>0</v>
      </c>
      <c r="AR30" s="204">
        <f>'FY 2016 by Agency'!AR30</f>
        <v>0</v>
      </c>
      <c r="AS30" s="204">
        <f>'FY 2016 by Agency'!AS30</f>
        <v>1115.5742499999999</v>
      </c>
      <c r="AT30" s="204">
        <f t="shared" si="20"/>
        <v>-2029.5093984962409</v>
      </c>
      <c r="AU30" s="304">
        <f t="shared" si="21"/>
        <v>-1</v>
      </c>
      <c r="AV30" s="204">
        <f t="shared" si="22"/>
        <v>-863.14097556391016</v>
      </c>
      <c r="AW30" s="304">
        <f t="shared" si="23"/>
        <v>-0.43621283366732339</v>
      </c>
      <c r="AX30" s="305" t="s">
        <v>392</v>
      </c>
      <c r="AY30" s="207">
        <v>1307</v>
      </c>
      <c r="AZ30" s="207">
        <f t="shared" si="24"/>
        <v>1307</v>
      </c>
      <c r="BA30" s="207">
        <f t="shared" si="25"/>
        <v>443.85902443608984</v>
      </c>
      <c r="BB30" s="207">
        <f t="shared" si="26"/>
        <v>2422.5742499999997</v>
      </c>
      <c r="BC30" s="304">
        <f t="shared" si="27"/>
        <v>0.22431677823148855</v>
      </c>
      <c r="BD30" s="306">
        <v>0</v>
      </c>
      <c r="BE30" s="199">
        <f t="shared" si="5"/>
        <v>0</v>
      </c>
      <c r="BI30" s="200">
        <v>1287</v>
      </c>
      <c r="BJ30" s="207">
        <f t="shared" si="28"/>
        <v>-20</v>
      </c>
      <c r="BK30" s="200">
        <f t="shared" si="29"/>
        <v>1287</v>
      </c>
      <c r="BL30" s="307">
        <f>'FY 2016 by Agency'!BB30*Inflator!$E$13</f>
        <v>1226.5529517088798</v>
      </c>
      <c r="BM30" s="204">
        <f t="shared" si="30"/>
        <v>-752.16227385503021</v>
      </c>
      <c r="BN30" s="199">
        <f t="shared" si="31"/>
        <v>-0.3801265913040483</v>
      </c>
      <c r="BO30" s="204">
        <f>'FY 2016 by Agency'!AX30*Inflator!$E$13</f>
        <v>1415.0323466585291</v>
      </c>
      <c r="BP30" s="204">
        <f t="shared" si="32"/>
        <v>-563.6828789053809</v>
      </c>
      <c r="BQ30" s="199">
        <f t="shared" si="33"/>
        <v>-0.28487317003624818</v>
      </c>
      <c r="BR30" s="204">
        <f>'FY 2016 by Agency'!BE30*Inflator!$E$14</f>
        <v>1441.8441597139451</v>
      </c>
      <c r="BS30" s="204">
        <f t="shared" si="34"/>
        <v>26.811813055415996</v>
      </c>
      <c r="BT30" s="199">
        <f t="shared" si="35"/>
        <v>1.8947844633184299E-2</v>
      </c>
      <c r="BU30" s="204">
        <f>'FY 2016 by Agency'!BL30*Inflator!$E$14</f>
        <v>1461.1689511323002</v>
      </c>
      <c r="BV30" s="204">
        <f t="shared" si="36"/>
        <v>234.61599942342036</v>
      </c>
      <c r="BW30" s="206">
        <v>1383</v>
      </c>
      <c r="BX30" s="206">
        <f>'FY 2016 by Agency'!BW30*Inflator!E15</f>
        <v>1840.5330281442391</v>
      </c>
      <c r="BY30" s="204">
        <f>'FY 2016 by Agency'!BZ30*Inflator!$E$15</f>
        <v>1519.9991204925241</v>
      </c>
      <c r="BZ30" s="206">
        <f t="shared" si="37"/>
        <v>-58.844159713945146</v>
      </c>
      <c r="CA30" s="199">
        <f t="shared" si="38"/>
        <v>-4.0811733582649834E-2</v>
      </c>
      <c r="CB30" s="308">
        <f>'FY 2016 by Agency'!CF30*Inflator!$E$16</f>
        <v>1524.2261045336413</v>
      </c>
      <c r="CC30" s="206">
        <f t="shared" si="39"/>
        <v>4.2269840411172481</v>
      </c>
      <c r="CD30" s="304">
        <f t="shared" si="40"/>
        <v>2.7809121624672926E-3</v>
      </c>
      <c r="CE30" s="206">
        <f>'FY 2016 by Agency'!CK30*Inflator!$E$17</f>
        <v>1602.9215075092095</v>
      </c>
      <c r="CF30" s="206">
        <f t="shared" si="41"/>
        <v>78.695402975568186</v>
      </c>
      <c r="CG30" s="562">
        <f t="shared" si="42"/>
        <v>5.1629743606606292E-2</v>
      </c>
      <c r="CH30" s="753">
        <f>'FY 2016 by Agency'!CN30*Inflator!$E$18</f>
        <v>1627</v>
      </c>
      <c r="CI30" s="753">
        <f t="shared" si="43"/>
        <v>24.078492490790495</v>
      </c>
      <c r="CJ30" s="66">
        <f t="shared" si="44"/>
        <v>1.5021629180212465E-2</v>
      </c>
    </row>
    <row r="31" spans="1:88" ht="18" customHeight="1" x14ac:dyDescent="0.25">
      <c r="A31" s="68" t="s">
        <v>152</v>
      </c>
      <c r="B31" s="302">
        <f>'FY 2016 by Agency'!B31*Inflator!$E$2</f>
        <v>527.23325358851673</v>
      </c>
      <c r="C31" s="302">
        <f>'FY 2016 by Agency'!C31*Inflator!$E$3</f>
        <v>510.93547140649156</v>
      </c>
      <c r="D31" s="302">
        <f t="shared" si="6"/>
        <v>-16.297782182025173</v>
      </c>
      <c r="E31" s="303">
        <f t="shared" si="7"/>
        <v>-3.0911901081916399E-2</v>
      </c>
      <c r="F31" s="204">
        <f>'FY 2016 by Agency'!F31*Inflator!$E$4</f>
        <v>503.3502093642939</v>
      </c>
      <c r="G31" s="204">
        <f t="shared" si="8"/>
        <v>-7.5852620421976553</v>
      </c>
      <c r="H31" s="199">
        <f t="shared" si="9"/>
        <v>-1.4845831747240249E-2</v>
      </c>
      <c r="I31" s="204">
        <f>'FY 2016 by Agency'!I31*Inflator!$E$5</f>
        <v>531.94161398289327</v>
      </c>
      <c r="J31" s="204">
        <f t="shared" si="10"/>
        <v>28.59140461859937</v>
      </c>
      <c r="K31" s="199">
        <f t="shared" si="11"/>
        <v>5.6802210641193299E-2</v>
      </c>
      <c r="L31" s="204">
        <f>'FY 2016 by Agency'!L31*Inflator!$E$6</f>
        <v>552.69574700109047</v>
      </c>
      <c r="M31" s="204">
        <f t="shared" si="12"/>
        <v>20.754133018197194</v>
      </c>
      <c r="N31" s="199">
        <f t="shared" si="13"/>
        <v>3.9015810142773728E-2</v>
      </c>
      <c r="O31" s="204">
        <f>'FY 2016 by Agency'!O31*Inflator!$E$7</f>
        <v>545.33262935586049</v>
      </c>
      <c r="P31" s="204">
        <f t="shared" si="14"/>
        <v>-7.3631176452299769</v>
      </c>
      <c r="Q31" s="304">
        <f t="shared" si="0"/>
        <v>-1.3322189803670498E-2</v>
      </c>
      <c r="R31" s="204">
        <f>'FY 2016 by Agency'!R31*Inflator!$E$8</f>
        <v>538.1262729124237</v>
      </c>
      <c r="S31" s="204">
        <f t="shared" si="1"/>
        <v>-7.206356443436789</v>
      </c>
      <c r="T31" s="304">
        <f t="shared" si="2"/>
        <v>-1.3214607114099957E-2</v>
      </c>
      <c r="U31" s="204">
        <f>'FY 2016 by Agency'!U31*Inflator!$E$9</f>
        <v>502.93866047745354</v>
      </c>
      <c r="V31" s="204">
        <f t="shared" si="15"/>
        <v>-35.187612434970163</v>
      </c>
      <c r="W31" s="304">
        <f t="shared" si="16"/>
        <v>-6.5389136725343827E-2</v>
      </c>
      <c r="X31" s="204">
        <f>'FY 2016 by Agency'!X31*Inflator!$E$10</f>
        <v>435.92981899015564</v>
      </c>
      <c r="Y31" s="206">
        <f t="shared" si="17"/>
        <v>-67.0088414872979</v>
      </c>
      <c r="Z31" s="304">
        <f t="shared" si="46"/>
        <v>-0.13323462034850245</v>
      </c>
      <c r="AA31" s="204">
        <f>'FY 2016 by Agency'!AA31*Inflator!$E$11</f>
        <v>454.53583943931193</v>
      </c>
      <c r="AB31" s="206">
        <f t="shared" si="3"/>
        <v>18.60602044915629</v>
      </c>
      <c r="AC31" s="304">
        <f t="shared" si="4"/>
        <v>4.268122903878814E-2</v>
      </c>
      <c r="AD31" s="204">
        <f>'FY 2016 by Agency'!AD31*Inflator!$E$12</f>
        <v>446.98872180451133</v>
      </c>
      <c r="AE31" s="204">
        <f>'FY 2016 by Agency'!AE31*Inflator!$B$8</f>
        <v>0</v>
      </c>
      <c r="AF31" s="204">
        <f>'FY 2016 by Agency'!AF31*Inflator!$E$12</f>
        <v>446.98872180451133</v>
      </c>
      <c r="AG31" s="204">
        <f t="shared" si="18"/>
        <v>-7.5471176348005997</v>
      </c>
      <c r="AH31" s="304">
        <f t="shared" si="19"/>
        <v>-1.6604010025062645E-2</v>
      </c>
      <c r="AI31" s="204">
        <f>'FY 2016 by Agency'!AI31*Inflator!$B$8</f>
        <v>0</v>
      </c>
      <c r="AJ31" s="204">
        <f>'FY 2016 by Agency'!AJ31*Inflator!$B$8</f>
        <v>0</v>
      </c>
      <c r="AK31" s="204">
        <f>'FY 2016 by Agency'!AK31</f>
        <v>396</v>
      </c>
      <c r="AL31" s="204">
        <f>'FY 2016 by Agency'!AL31</f>
        <v>0</v>
      </c>
      <c r="AM31" s="204">
        <f>'FY 2016 by Agency'!AM31</f>
        <v>396</v>
      </c>
      <c r="AN31" s="204">
        <f>'FY 2016 by Agency'!AN31</f>
        <v>396</v>
      </c>
      <c r="AO31" s="204">
        <f>'FY 2016 by Agency'!AO31</f>
        <v>396</v>
      </c>
      <c r="AP31" s="204">
        <f>'FY 2016 by Agency'!AP31</f>
        <v>0</v>
      </c>
      <c r="AQ31" s="204">
        <f>'FY 2016 by Agency'!AQ31</f>
        <v>0</v>
      </c>
      <c r="AR31" s="204">
        <f>'FY 2016 by Agency'!AR31</f>
        <v>0</v>
      </c>
      <c r="AS31" s="204">
        <f>'FY 2016 by Agency'!AS31</f>
        <v>494.92874999999998</v>
      </c>
      <c r="AT31" s="204">
        <f t="shared" si="20"/>
        <v>-446.98872180451133</v>
      </c>
      <c r="AU31" s="304">
        <f t="shared" si="21"/>
        <v>-1</v>
      </c>
      <c r="AV31" s="204">
        <f t="shared" si="22"/>
        <v>47.940028195488651</v>
      </c>
      <c r="AW31" s="304">
        <f t="shared" si="23"/>
        <v>0.10725109126233172</v>
      </c>
      <c r="AX31" s="305" t="s">
        <v>393</v>
      </c>
      <c r="AY31" s="207">
        <v>396</v>
      </c>
      <c r="AZ31" s="207">
        <f t="shared" si="24"/>
        <v>0</v>
      </c>
      <c r="BA31" s="207">
        <f t="shared" si="25"/>
        <v>47.940028195488651</v>
      </c>
      <c r="BB31" s="207">
        <f t="shared" si="26"/>
        <v>494.92874999999998</v>
      </c>
      <c r="BC31" s="304">
        <f t="shared" si="27"/>
        <v>0.10725109126233168</v>
      </c>
      <c r="BD31" s="306">
        <v>0</v>
      </c>
      <c r="BE31" s="199">
        <f t="shared" si="5"/>
        <v>0</v>
      </c>
      <c r="BI31" s="200">
        <v>396</v>
      </c>
      <c r="BJ31" s="207">
        <f t="shared" si="28"/>
        <v>0</v>
      </c>
      <c r="BK31" s="200">
        <f t="shared" si="29"/>
        <v>396</v>
      </c>
      <c r="BL31" s="307">
        <f>'FY 2016 by Agency'!BB31*Inflator!$E$13</f>
        <v>544.16487221544094</v>
      </c>
      <c r="BM31" s="204">
        <f t="shared" si="30"/>
        <v>97.176150410929608</v>
      </c>
      <c r="BN31" s="199">
        <f t="shared" si="31"/>
        <v>0.21740179487890793</v>
      </c>
      <c r="BO31" s="204">
        <f>'FY 2016 by Agency'!AX31*Inflator!$E$13</f>
        <v>435.39456820262433</v>
      </c>
      <c r="BP31" s="204">
        <f t="shared" si="32"/>
        <v>-11.594153601887001</v>
      </c>
      <c r="BQ31" s="199">
        <f t="shared" si="33"/>
        <v>-2.5938358254501231E-2</v>
      </c>
      <c r="BR31" s="204">
        <f>'FY 2016 by Agency'!BE31*Inflator!$E$14</f>
        <v>425.14541120381404</v>
      </c>
      <c r="BS31" s="204">
        <f t="shared" si="34"/>
        <v>-10.249156998810292</v>
      </c>
      <c r="BT31" s="199">
        <f t="shared" si="35"/>
        <v>-2.3539928486293219E-2</v>
      </c>
      <c r="BU31" s="204">
        <f>'FY 2016 by Agency'!BL31*Inflator!$E$14</f>
        <v>425.14541120381404</v>
      </c>
      <c r="BV31" s="204">
        <f t="shared" si="36"/>
        <v>-119.0194610116269</v>
      </c>
      <c r="BW31" s="206">
        <v>408</v>
      </c>
      <c r="BX31" s="206">
        <f>'FY 2016 by Agency'!BW31*Inflator!E15</f>
        <v>430.96569920844325</v>
      </c>
      <c r="BY31" s="204">
        <f>'FY 2016 by Agency'!BZ31*Inflator!$E$15</f>
        <v>827.07387862796827</v>
      </c>
      <c r="BZ31" s="206">
        <f t="shared" si="37"/>
        <v>-17.145411203814035</v>
      </c>
      <c r="CA31" s="199">
        <f t="shared" si="38"/>
        <v>-4.0328345907030272E-2</v>
      </c>
      <c r="CB31" s="308">
        <f>'FY 2016 by Agency'!CF31*Inflator!$E$16</f>
        <v>445.30291654634709</v>
      </c>
      <c r="CC31" s="206">
        <f t="shared" si="39"/>
        <v>-381.77096208162118</v>
      </c>
      <c r="CD31" s="304">
        <f t="shared" si="40"/>
        <v>-0.46159233406686778</v>
      </c>
      <c r="CE31" s="206">
        <f>'FY 2016 by Agency'!CK31*Inflator!$E$17</f>
        <v>459.43610087843587</v>
      </c>
      <c r="CF31" s="206">
        <f t="shared" si="41"/>
        <v>14.133184332088774</v>
      </c>
      <c r="CG31" s="562">
        <f t="shared" si="42"/>
        <v>3.173836012955418E-2</v>
      </c>
      <c r="CH31" s="753">
        <f>'FY 2016 by Agency'!CN31*Inflator!$E$18</f>
        <v>472</v>
      </c>
      <c r="CI31" s="753">
        <f t="shared" si="43"/>
        <v>12.563899121564134</v>
      </c>
      <c r="CJ31" s="66">
        <f t="shared" si="44"/>
        <v>2.7346347179819177E-2</v>
      </c>
    </row>
    <row r="32" spans="1:88" ht="18" customHeight="1" x14ac:dyDescent="0.25">
      <c r="A32" s="68" t="s">
        <v>153</v>
      </c>
      <c r="B32" s="302">
        <f>'FY 2016 by Agency'!B32*Inflator!$E$2</f>
        <v>57321.891148325361</v>
      </c>
      <c r="C32" s="302">
        <f>'FY 2016 by Agency'!C32*Inflator!$E$3</f>
        <v>44928.908809891815</v>
      </c>
      <c r="D32" s="302">
        <f t="shared" si="6"/>
        <v>-12392.982338433547</v>
      </c>
      <c r="E32" s="303">
        <f t="shared" si="7"/>
        <v>-0.21619981633832755</v>
      </c>
      <c r="F32" s="204">
        <f>'FY 2016 by Agency'!F32*Inflator!$E$4</f>
        <v>57543.763989341453</v>
      </c>
      <c r="G32" s="204">
        <f t="shared" si="8"/>
        <v>12614.855179449638</v>
      </c>
      <c r="H32" s="199">
        <f t="shared" si="9"/>
        <v>0.28077368254873525</v>
      </c>
      <c r="I32" s="204">
        <f>'FY 2016 by Agency'!I32*Inflator!$E$5</f>
        <v>41461.968017850508</v>
      </c>
      <c r="J32" s="204">
        <f t="shared" si="10"/>
        <v>-16081.795971490945</v>
      </c>
      <c r="K32" s="199">
        <f t="shared" si="11"/>
        <v>-0.27947069945702019</v>
      </c>
      <c r="L32" s="204">
        <f>'FY 2016 by Agency'!L32*Inflator!$E$6</f>
        <v>43880.375136314069</v>
      </c>
      <c r="M32" s="204">
        <f t="shared" si="12"/>
        <v>2418.4071184635613</v>
      </c>
      <c r="N32" s="199">
        <f t="shared" si="13"/>
        <v>5.8328324343465104E-2</v>
      </c>
      <c r="O32" s="204">
        <f>'FY 2016 by Agency'!O32*Inflator!$E$7</f>
        <v>50532.043294614567</v>
      </c>
      <c r="P32" s="204">
        <f t="shared" si="14"/>
        <v>6651.6681583004975</v>
      </c>
      <c r="Q32" s="304">
        <f t="shared" si="0"/>
        <v>0.15158640138415266</v>
      </c>
      <c r="R32" s="204">
        <f>'FY 2016 by Agency'!R32*Inflator!$E$8</f>
        <v>55080.89307535642</v>
      </c>
      <c r="S32" s="204">
        <f t="shared" si="1"/>
        <v>4548.8497807418535</v>
      </c>
      <c r="T32" s="304">
        <f t="shared" si="2"/>
        <v>9.0019114291913963E-2</v>
      </c>
      <c r="U32" s="204">
        <f>'FY 2016 by Agency'!U32*Inflator!$E$9</f>
        <v>70112.755305039784</v>
      </c>
      <c r="V32" s="204">
        <f t="shared" si="15"/>
        <v>15031.862229683364</v>
      </c>
      <c r="W32" s="304">
        <f t="shared" si="16"/>
        <v>0.27290520161171322</v>
      </c>
      <c r="X32" s="204">
        <f>'FY 2016 by Agency'!X32*Inflator!$E$10</f>
        <v>75298.008891711666</v>
      </c>
      <c r="Y32" s="206">
        <f t="shared" si="17"/>
        <v>5185.2535866718827</v>
      </c>
      <c r="Z32" s="304">
        <f t="shared" si="46"/>
        <v>7.3955923770395046E-2</v>
      </c>
      <c r="AA32" s="204">
        <f>'FY 2016 by Agency'!AA32*Inflator!$E$11</f>
        <v>78616.335138579176</v>
      </c>
      <c r="AB32" s="206">
        <f t="shared" si="3"/>
        <v>3318.3262468675093</v>
      </c>
      <c r="AC32" s="304">
        <f t="shared" si="4"/>
        <v>4.4069242941598814E-2</v>
      </c>
      <c r="AD32" s="204">
        <f>'FY 2016 by Agency'!AD32*Inflator!$E$12</f>
        <v>65810.05921052632</v>
      </c>
      <c r="AE32" s="204">
        <f>'FY 2016 by Agency'!AE32*Inflator!$B$8</f>
        <v>0</v>
      </c>
      <c r="AF32" s="204">
        <f>'FY 2016 by Agency'!AF32*Inflator!$E$12</f>
        <v>67558.507518797007</v>
      </c>
      <c r="AG32" s="204">
        <f t="shared" si="18"/>
        <v>-11057.827619782169</v>
      </c>
      <c r="AH32" s="304">
        <f t="shared" si="19"/>
        <v>-0.14065559785113657</v>
      </c>
      <c r="AI32" s="204">
        <f>'FY 2016 by Agency'!AI32*Inflator!$B$8</f>
        <v>0</v>
      </c>
      <c r="AJ32" s="204">
        <f>'FY 2016 by Agency'!AJ32*Inflator!$B$8</f>
        <v>0</v>
      </c>
      <c r="AK32" s="204">
        <f>'FY 2016 by Agency'!AK32</f>
        <v>57749</v>
      </c>
      <c r="AL32" s="204">
        <f>'FY 2016 by Agency'!AL32</f>
        <v>1900</v>
      </c>
      <c r="AM32" s="204">
        <f>'FY 2016 by Agency'!AM32</f>
        <v>59649</v>
      </c>
      <c r="AN32" s="204">
        <f>'FY 2016 by Agency'!AN32</f>
        <v>53365</v>
      </c>
      <c r="AO32" s="204">
        <f>'FY 2016 by Agency'!AO32</f>
        <v>62004</v>
      </c>
      <c r="AP32" s="204">
        <f>'FY 2016 by Agency'!AP32</f>
        <v>0</v>
      </c>
      <c r="AQ32" s="204">
        <f>'FY 2016 by Agency'!AQ32</f>
        <v>195</v>
      </c>
      <c r="AR32" s="204">
        <f>'FY 2016 by Agency'!AR32</f>
        <v>195</v>
      </c>
      <c r="AS32" s="204">
        <f>'FY 2016 by Agency'!AS32</f>
        <v>54722.822670000001</v>
      </c>
      <c r="AT32" s="204">
        <f t="shared" si="20"/>
        <v>-65615.05921052632</v>
      </c>
      <c r="AU32" s="304">
        <f t="shared" si="21"/>
        <v>-0.99703692714549619</v>
      </c>
      <c r="AV32" s="204">
        <f t="shared" si="22"/>
        <v>-12835.684848797006</v>
      </c>
      <c r="AW32" s="304">
        <f t="shared" si="23"/>
        <v>-0.18999361176274793</v>
      </c>
      <c r="AX32" s="305" t="s">
        <v>394</v>
      </c>
      <c r="AY32" s="207">
        <v>60741.973420000002</v>
      </c>
      <c r="AZ32" s="207">
        <f t="shared" si="24"/>
        <v>-1262.0265799999979</v>
      </c>
      <c r="BA32" s="207">
        <f t="shared" si="25"/>
        <v>-14097.711428797003</v>
      </c>
      <c r="BB32" s="207">
        <f>+AZ32+AS32+AY39</f>
        <v>56739.796090000003</v>
      </c>
      <c r="BC32" s="304">
        <f t="shared" si="27"/>
        <v>-0.16013840189981821</v>
      </c>
      <c r="BD32" s="306">
        <v>394.16899999999998</v>
      </c>
      <c r="BE32" s="199">
        <f t="shared" si="5"/>
        <v>6.4892359896594216E-3</v>
      </c>
      <c r="BF32" s="66">
        <f>1700+903</f>
        <v>2603</v>
      </c>
      <c r="BG32" s="66">
        <v>483</v>
      </c>
      <c r="BI32" s="200">
        <v>58313</v>
      </c>
      <c r="BJ32" s="207">
        <f t="shared" si="28"/>
        <v>-2428.9734200000021</v>
      </c>
      <c r="BK32" s="200">
        <f t="shared" si="29"/>
        <v>58508</v>
      </c>
      <c r="BL32" s="307">
        <f>'FY 2016 by Agency'!BB32*Inflator!$E$13</f>
        <v>59952.317693014949</v>
      </c>
      <c r="BM32" s="204">
        <f t="shared" si="30"/>
        <v>-7606.1898257820576</v>
      </c>
      <c r="BN32" s="199">
        <f t="shared" si="31"/>
        <v>-0.11258670602907805</v>
      </c>
      <c r="BO32" s="204">
        <f>'FY 2016 by Agency'!AX32*Inflator!$E$13</f>
        <v>64114.049130302104</v>
      </c>
      <c r="BP32" s="204">
        <f t="shared" si="32"/>
        <v>-3444.4583884949025</v>
      </c>
      <c r="BQ32" s="199">
        <f t="shared" si="33"/>
        <v>-5.0984820639155486E-2</v>
      </c>
      <c r="BR32" s="204">
        <f>'FY 2016 by Agency'!BE32*Inflator!$E$14</f>
        <v>59869.277413587602</v>
      </c>
      <c r="BS32" s="204">
        <f t="shared" si="34"/>
        <v>-4244.771716714502</v>
      </c>
      <c r="BT32" s="199">
        <f t="shared" si="35"/>
        <v>-6.6206576784561613E-2</v>
      </c>
      <c r="BU32" s="204">
        <f>'FY 2016 by Agency'!BL32*Inflator!$E$14</f>
        <v>59869.277413587602</v>
      </c>
      <c r="BV32" s="204">
        <f t="shared" si="36"/>
        <v>-83.040279427346832</v>
      </c>
      <c r="BW32" s="309">
        <v>59800</v>
      </c>
      <c r="BX32" s="206">
        <f>'FY 2016 by Agency'!BW32*Inflator!E15</f>
        <v>66040.493990325413</v>
      </c>
      <c r="BY32" s="204">
        <f>'FY 2016 by Agency'!BZ32*Inflator!$E$15</f>
        <v>61316.489885664021</v>
      </c>
      <c r="BZ32" s="206">
        <f t="shared" si="37"/>
        <v>-69.277413587602496</v>
      </c>
      <c r="CA32" s="199">
        <f t="shared" si="38"/>
        <v>-1.157144642134593E-3</v>
      </c>
      <c r="CB32" s="308">
        <f>'FY 2016 by Agency'!CF32*Inflator!$E$16</f>
        <v>62832.449610164593</v>
      </c>
      <c r="CC32" s="206">
        <f t="shared" si="39"/>
        <v>1515.9597245005716</v>
      </c>
      <c r="CD32" s="304">
        <f t="shared" si="40"/>
        <v>2.4723524248164888E-2</v>
      </c>
      <c r="CE32" s="206">
        <f>'FY 2016 by Agency'!CK32*Inflator!$E$17</f>
        <v>69253.355908189304</v>
      </c>
      <c r="CF32" s="206">
        <f t="shared" si="41"/>
        <v>6420.9062980247108</v>
      </c>
      <c r="CG32" s="562">
        <f t="shared" si="42"/>
        <v>0.10219092742464049</v>
      </c>
      <c r="CH32" s="753">
        <f>'FY 2016 by Agency'!CN32*Inflator!$E$18</f>
        <v>58220</v>
      </c>
      <c r="CI32" s="753">
        <f t="shared" si="43"/>
        <v>-11033.355908189304</v>
      </c>
      <c r="CJ32" s="66">
        <f t="shared" si="44"/>
        <v>-0.15931871839996412</v>
      </c>
    </row>
    <row r="33" spans="1:88" ht="18" customHeight="1" x14ac:dyDescent="0.25">
      <c r="A33" s="68" t="s">
        <v>514</v>
      </c>
      <c r="B33" s="302"/>
      <c r="C33" s="302"/>
      <c r="D33" s="302"/>
      <c r="E33" s="303"/>
      <c r="F33" s="204"/>
      <c r="G33" s="204"/>
      <c r="I33" s="204"/>
      <c r="J33" s="204"/>
      <c r="L33" s="204"/>
      <c r="M33" s="204"/>
      <c r="O33" s="204"/>
      <c r="P33" s="204"/>
      <c r="Q33" s="304"/>
      <c r="R33" s="204"/>
      <c r="S33" s="204"/>
      <c r="T33" s="304"/>
      <c r="U33" s="204"/>
      <c r="V33" s="204"/>
      <c r="W33" s="304"/>
      <c r="X33" s="204"/>
      <c r="Y33" s="206"/>
      <c r="Z33" s="304"/>
      <c r="AA33" s="204"/>
      <c r="AB33" s="206"/>
      <c r="AC33" s="304"/>
      <c r="AD33" s="204"/>
      <c r="AE33" s="204"/>
      <c r="AF33" s="204"/>
      <c r="AG33" s="204"/>
      <c r="AH33" s="304"/>
      <c r="AI33" s="204"/>
      <c r="AJ33" s="204"/>
      <c r="AK33" s="204"/>
      <c r="AL33" s="204"/>
      <c r="AM33" s="204"/>
      <c r="AO33" s="204"/>
      <c r="AU33" s="304"/>
      <c r="AV33" s="204"/>
      <c r="AW33" s="304"/>
      <c r="AX33" s="305"/>
      <c r="AY33" s="207"/>
      <c r="AZ33" s="207"/>
      <c r="BA33" s="207"/>
      <c r="BB33" s="207"/>
      <c r="BC33" s="304"/>
      <c r="BD33" s="306"/>
      <c r="BE33" s="199"/>
      <c r="BI33" s="200"/>
      <c r="BJ33" s="207"/>
      <c r="BK33" s="200"/>
      <c r="BL33" s="307"/>
      <c r="BN33" s="199"/>
      <c r="BO33" s="204"/>
      <c r="BP33" s="204"/>
      <c r="BQ33" s="199"/>
      <c r="BR33" s="204"/>
      <c r="BS33" s="204"/>
      <c r="BT33" s="199"/>
      <c r="BW33" s="309"/>
      <c r="BX33" s="206"/>
      <c r="BY33" s="204"/>
      <c r="BZ33" s="206"/>
      <c r="CA33" s="199"/>
      <c r="CB33" s="308"/>
      <c r="CC33" s="206"/>
      <c r="CD33" s="304"/>
      <c r="CE33" s="206">
        <f>'FY 2016 by Agency'!CK33*Inflator!$E$17</f>
        <v>230.73901955228112</v>
      </c>
      <c r="CF33" s="206">
        <f>CE33-CB33</f>
        <v>230.73901955228112</v>
      </c>
      <c r="CG33" s="562" t="e">
        <f>CF33/CB33</f>
        <v>#DIV/0!</v>
      </c>
      <c r="CH33" s="753">
        <f>'FY 2016 by Agency'!CN33*Inflator!$E$18</f>
        <v>230</v>
      </c>
      <c r="CI33" s="753">
        <f>CH33-CE33</f>
        <v>-0.73901955228112115</v>
      </c>
      <c r="CJ33" s="66">
        <f>CI33/CE33</f>
        <v>-3.2028373602136818E-3</v>
      </c>
    </row>
    <row r="34" spans="1:88" s="317" customFormat="1" ht="18" customHeight="1" x14ac:dyDescent="0.25">
      <c r="A34" s="68" t="s">
        <v>155</v>
      </c>
      <c r="B34" s="302">
        <f>'FY 2016 by Agency'!B34*Inflator!$E$2</f>
        <v>11630.736842105263</v>
      </c>
      <c r="C34" s="302">
        <f>'FY 2016 by Agency'!C34*Inflator!$E$3</f>
        <v>14858.894513137559</v>
      </c>
      <c r="D34" s="302">
        <f t="shared" si="6"/>
        <v>3228.1576710322952</v>
      </c>
      <c r="E34" s="303">
        <f t="shared" si="7"/>
        <v>0.27755401182716216</v>
      </c>
      <c r="F34" s="204">
        <f>'FY 2016 by Agency'!F34*Inflator!$E$4</f>
        <v>14512.121431290445</v>
      </c>
      <c r="G34" s="204">
        <f t="shared" si="8"/>
        <v>-346.77308184711364</v>
      </c>
      <c r="H34" s="199">
        <f t="shared" si="9"/>
        <v>-2.3337744375297412E-2</v>
      </c>
      <c r="I34" s="204">
        <f>'FY 2016 by Agency'!I34*Inflator!$E$5</f>
        <v>13227.525474153961</v>
      </c>
      <c r="J34" s="204">
        <f t="shared" si="10"/>
        <v>-1284.5959571364838</v>
      </c>
      <c r="K34" s="199">
        <f t="shared" si="11"/>
        <v>-8.8518826363090539E-2</v>
      </c>
      <c r="L34" s="204">
        <f>'FY 2016 by Agency'!L34*Inflator!$E$6</f>
        <v>11400.986913849509</v>
      </c>
      <c r="M34" s="204">
        <f t="shared" si="12"/>
        <v>-1826.5385603044524</v>
      </c>
      <c r="N34" s="199">
        <f t="shared" si="13"/>
        <v>-0.13808618731246697</v>
      </c>
      <c r="O34" s="204">
        <f>'FY 2016 by Agency'!O34*Inflator!$E$7</f>
        <v>12670.740232312564</v>
      </c>
      <c r="P34" s="315">
        <f t="shared" si="14"/>
        <v>1269.7533184630556</v>
      </c>
      <c r="Q34" s="316">
        <f t="shared" si="0"/>
        <v>0.11137222839196535</v>
      </c>
      <c r="R34" s="204">
        <f>'FY 2016 by Agency'!R34*Inflator!$E$8</f>
        <v>13794.377800407332</v>
      </c>
      <c r="S34" s="315">
        <f t="shared" si="1"/>
        <v>1123.6375680947676</v>
      </c>
      <c r="T34" s="316">
        <f t="shared" si="2"/>
        <v>8.8679709905921583E-2</v>
      </c>
      <c r="U34" s="204">
        <f>'FY 2016 by Agency'!U34*Inflator!$E$9</f>
        <v>14771.583222811669</v>
      </c>
      <c r="V34" s="315">
        <f t="shared" si="15"/>
        <v>977.20542240433679</v>
      </c>
      <c r="W34" s="316">
        <f t="shared" si="16"/>
        <v>7.0840848100845913E-2</v>
      </c>
      <c r="X34" s="204">
        <f>'FY 2016 by Agency'!X34*Inflator!$E$10</f>
        <v>17032.155604953954</v>
      </c>
      <c r="Y34" s="206">
        <f t="shared" si="17"/>
        <v>2260.5723821422853</v>
      </c>
      <c r="Z34" s="316">
        <f t="shared" si="46"/>
        <v>0.15303521281668012</v>
      </c>
      <c r="AA34" s="204">
        <f>'FY 2016 by Agency'!AA34*Inflator!$E$11</f>
        <v>17054.276521185093</v>
      </c>
      <c r="AB34" s="206">
        <f t="shared" si="3"/>
        <v>22.120916231138835</v>
      </c>
      <c r="AC34" s="304">
        <f t="shared" si="4"/>
        <v>1.2987737280127226E-3</v>
      </c>
      <c r="AD34" s="204">
        <f>'FY 2016 by Agency'!AD34*Inflator!$E$12</f>
        <v>17447.234022556393</v>
      </c>
      <c r="AE34" s="204">
        <f>'FY 2016 by Agency'!AE34*Inflator!$B$8</f>
        <v>0</v>
      </c>
      <c r="AF34" s="204">
        <f>'FY 2016 by Agency'!AF34*Inflator!$E$12</f>
        <v>16795.939849624061</v>
      </c>
      <c r="AG34" s="204">
        <f t="shared" si="18"/>
        <v>-258.33667156103184</v>
      </c>
      <c r="AH34" s="304">
        <f t="shared" si="19"/>
        <v>-1.5147911507129717E-2</v>
      </c>
      <c r="AI34" s="204">
        <f>'FY 2016 by Agency'!AI34*Inflator!$B$8</f>
        <v>0</v>
      </c>
      <c r="AJ34" s="204">
        <f>'FY 2016 by Agency'!AJ34*Inflator!$B$8</f>
        <v>0</v>
      </c>
      <c r="AK34" s="204">
        <f>'FY 2016 by Agency'!AK34</f>
        <v>14331</v>
      </c>
      <c r="AL34" s="204">
        <f>'FY 2016 by Agency'!AL34</f>
        <v>0</v>
      </c>
      <c r="AM34" s="204">
        <f>'FY 2016 by Agency'!AM34</f>
        <v>14331</v>
      </c>
      <c r="AN34" s="204">
        <f>'FY 2016 by Agency'!AN34</f>
        <v>13567</v>
      </c>
      <c r="AO34" s="204">
        <f>'FY 2016 by Agency'!AO34</f>
        <v>13567</v>
      </c>
      <c r="AP34" s="204">
        <f>'FY 2016 by Agency'!AP34</f>
        <v>593</v>
      </c>
      <c r="AQ34" s="204">
        <f>'FY 2016 by Agency'!AQ34</f>
        <v>0</v>
      </c>
      <c r="AR34" s="204">
        <f>'FY 2016 by Agency'!AR34</f>
        <v>593</v>
      </c>
      <c r="AS34" s="204">
        <f>'FY 2016 by Agency'!AS34</f>
        <v>12993.86816</v>
      </c>
      <c r="AT34" s="204">
        <f t="shared" si="20"/>
        <v>-16854.234022556393</v>
      </c>
      <c r="AU34" s="304">
        <f t="shared" si="21"/>
        <v>-0.96601180455117708</v>
      </c>
      <c r="AV34" s="204">
        <f t="shared" si="22"/>
        <v>-3802.071689624061</v>
      </c>
      <c r="AW34" s="304">
        <f t="shared" si="23"/>
        <v>-0.22636849879580639</v>
      </c>
      <c r="AX34" s="305" t="s">
        <v>395</v>
      </c>
      <c r="AY34" s="207">
        <v>13925.127259999999</v>
      </c>
      <c r="AZ34" s="207">
        <f t="shared" si="24"/>
        <v>358.1272599999993</v>
      </c>
      <c r="BA34" s="207">
        <f t="shared" si="25"/>
        <v>-3443.9444296240617</v>
      </c>
      <c r="BB34" s="207">
        <f t="shared" si="26"/>
        <v>13351.995419999999</v>
      </c>
      <c r="BC34" s="304">
        <f t="shared" si="27"/>
        <v>-0.20504624691789108</v>
      </c>
      <c r="BD34" s="306">
        <v>0</v>
      </c>
      <c r="BE34" s="199">
        <f t="shared" si="5"/>
        <v>0</v>
      </c>
      <c r="BF34" s="317">
        <v>1120</v>
      </c>
      <c r="BI34" s="318">
        <v>13329</v>
      </c>
      <c r="BJ34" s="207">
        <f t="shared" si="28"/>
        <v>-596.1272599999993</v>
      </c>
      <c r="BK34" s="200">
        <f t="shared" si="29"/>
        <v>13922</v>
      </c>
      <c r="BL34" s="307">
        <f>'FY 2016 by Agency'!BB34*Inflator!$E$13</f>
        <v>13634.521812779982</v>
      </c>
      <c r="BM34" s="204">
        <f t="shared" si="30"/>
        <v>-3161.4180368440793</v>
      </c>
      <c r="BN34" s="199">
        <f t="shared" si="31"/>
        <v>-0.18822513447586803</v>
      </c>
      <c r="BO34" s="204">
        <f>'FY 2016 by Agency'!AX34*Inflator!$E$13</f>
        <v>14654.985352456515</v>
      </c>
      <c r="BP34" s="204">
        <f t="shared" si="32"/>
        <v>-2140.9544971675459</v>
      </c>
      <c r="BQ34" s="199">
        <f t="shared" si="33"/>
        <v>-0.12746857373482831</v>
      </c>
      <c r="BR34" s="204">
        <f>'FY 2016 by Agency'!BE34*Inflator!$E$14</f>
        <v>12810.189511323002</v>
      </c>
      <c r="BS34" s="204">
        <f t="shared" si="34"/>
        <v>-1844.795841133513</v>
      </c>
      <c r="BT34" s="199">
        <f t="shared" si="35"/>
        <v>-0.12588179358529911</v>
      </c>
      <c r="BU34" s="315">
        <f>'FY 2016 by Agency'!BL34*Inflator!$E$14</f>
        <v>14352.952026221692</v>
      </c>
      <c r="BV34" s="204">
        <f t="shared" si="36"/>
        <v>718.43021344171029</v>
      </c>
      <c r="BW34" s="309">
        <v>13308</v>
      </c>
      <c r="BX34" s="206">
        <f>'FY 2016 by Agency'!BW34*Inflator!E15</f>
        <v>15992.081865435355</v>
      </c>
      <c r="BY34" s="204">
        <f>'FY 2016 by Agency'!BZ34*Inflator!$E$15</f>
        <v>12563.495162708881</v>
      </c>
      <c r="BZ34" s="206">
        <f t="shared" si="37"/>
        <v>497.81048867699792</v>
      </c>
      <c r="CA34" s="199">
        <f t="shared" si="38"/>
        <v>3.8860509302924853E-2</v>
      </c>
      <c r="CB34" s="308">
        <f>'FY 2016 by Agency'!CF34*Inflator!$E$16</f>
        <v>13535.96015015882</v>
      </c>
      <c r="CC34" s="206">
        <f t="shared" si="39"/>
        <v>972.46498744993914</v>
      </c>
      <c r="CD34" s="304">
        <f t="shared" si="40"/>
        <v>7.7404016546002388E-2</v>
      </c>
      <c r="CE34" s="413">
        <f>'FY 2016 by Agency'!CK34*Inflator!$E$17</f>
        <v>14648.864834230662</v>
      </c>
      <c r="CF34" s="413">
        <f>CE34-CB34</f>
        <v>1112.904684071842</v>
      </c>
      <c r="CG34" s="19">
        <f>CF34/CB34</f>
        <v>8.2218377693641778E-2</v>
      </c>
      <c r="CH34" s="779">
        <f>'FY 2016 by Agency'!CN34*Inflator!$E$18</f>
        <v>14595</v>
      </c>
      <c r="CI34" s="779">
        <f>CH34-CE34</f>
        <v>-53.864834230662382</v>
      </c>
      <c r="CJ34" s="317">
        <f>CI34/CE34</f>
        <v>-3.6770654136144389E-3</v>
      </c>
    </row>
    <row r="35" spans="1:88" s="317" customFormat="1" ht="18" customHeight="1" x14ac:dyDescent="0.25">
      <c r="A35" s="68" t="s">
        <v>156</v>
      </c>
      <c r="B35" s="302">
        <f>'FY 2016 by Agency'!B35*Inflator!$E$2</f>
        <v>111135.5980861244</v>
      </c>
      <c r="C35" s="302">
        <f>'FY 2016 by Agency'!C35*Inflator!$E$3</f>
        <v>117591.72913446678</v>
      </c>
      <c r="D35" s="302">
        <f t="shared" si="6"/>
        <v>6456.1310483423731</v>
      </c>
      <c r="E35" s="303">
        <f t="shared" si="7"/>
        <v>5.8092376875852163E-2</v>
      </c>
      <c r="F35" s="204">
        <f>'FY 2016 by Agency'!F35*Inflator!$E$4</f>
        <v>110464.11229539399</v>
      </c>
      <c r="G35" s="204">
        <f t="shared" si="8"/>
        <v>-7127.6168390727835</v>
      </c>
      <c r="H35" s="199">
        <f t="shared" si="9"/>
        <v>-6.0613249686313528E-2</v>
      </c>
      <c r="I35" s="204">
        <f>'FY 2016 by Agency'!I35*Inflator!$E$5</f>
        <v>107086.41242097435</v>
      </c>
      <c r="J35" s="204">
        <f t="shared" si="10"/>
        <v>-3377.6998744196462</v>
      </c>
      <c r="K35" s="199">
        <f t="shared" si="11"/>
        <v>-3.0577350455569502E-2</v>
      </c>
      <c r="L35" s="204">
        <f>'FY 2016 by Agency'!L35*Inflator!$E$6</f>
        <v>111459.87241003271</v>
      </c>
      <c r="M35" s="204">
        <f t="shared" si="12"/>
        <v>4373.4599890583631</v>
      </c>
      <c r="N35" s="199">
        <f t="shared" si="13"/>
        <v>4.0840475371100964E-2</v>
      </c>
      <c r="O35" s="204">
        <f>'FY 2016 by Agency'!O35*Inflator!$E$7</f>
        <v>133645.80887011613</v>
      </c>
      <c r="P35" s="315">
        <f t="shared" si="14"/>
        <v>22185.936460083423</v>
      </c>
      <c r="Q35" s="316">
        <f t="shared" si="0"/>
        <v>0.19904864396818048</v>
      </c>
      <c r="R35" s="204">
        <f>'FY 2016 by Agency'!R35*Inflator!$E$8</f>
        <v>145931.28411405295</v>
      </c>
      <c r="S35" s="315">
        <f t="shared" si="1"/>
        <v>12285.475243936817</v>
      </c>
      <c r="T35" s="316">
        <f t="shared" si="2"/>
        <v>9.1925630499019043E-2</v>
      </c>
      <c r="U35" s="204">
        <f>'FY 2016 by Agency'!U35*Inflator!$E$9</f>
        <v>159220.10610079573</v>
      </c>
      <c r="V35" s="315">
        <f t="shared" si="15"/>
        <v>13288.821986742783</v>
      </c>
      <c r="W35" s="315">
        <f t="shared" si="16"/>
        <v>9.1062187709914699E-2</v>
      </c>
      <c r="X35" s="204">
        <f>'FY 2016 by Agency'!X35*Inflator!$E$10</f>
        <v>149735.59987297555</v>
      </c>
      <c r="Y35" s="206">
        <f>X35-U35</f>
        <v>-9484.5062278201804</v>
      </c>
      <c r="Z35" s="304">
        <f t="shared" si="46"/>
        <v>-5.9568520961893641E-2</v>
      </c>
      <c r="AA35" s="204">
        <f>'FY 2016 by Agency'!AA35*Inflator!$E$11</f>
        <v>176583.73016884361</v>
      </c>
      <c r="AB35" s="206">
        <f t="shared" si="3"/>
        <v>26848.130295868061</v>
      </c>
      <c r="AC35" s="304">
        <f t="shared" si="4"/>
        <v>0.17930358791525863</v>
      </c>
      <c r="AD35" s="204">
        <f>'FY 2016 by Agency'!AD35*Inflator!$E$12</f>
        <v>119497.24248120302</v>
      </c>
      <c r="AE35" s="204">
        <f>'FY 2016 by Agency'!AE35*Inflator!$B$8</f>
        <v>0</v>
      </c>
      <c r="AF35" s="204">
        <f>'FY 2016 by Agency'!AF35*Inflator!$E$12</f>
        <v>147152.97650375942</v>
      </c>
      <c r="AG35" s="204">
        <f t="shared" si="18"/>
        <v>-29430.753665084194</v>
      </c>
      <c r="AH35" s="304">
        <f t="shared" si="19"/>
        <v>-0.16666741401908017</v>
      </c>
      <c r="AI35" s="204">
        <f>'FY 2016 by Agency'!AI35*Inflator!$B$8</f>
        <v>0</v>
      </c>
      <c r="AJ35" s="204">
        <f>'FY 2016 by Agency'!AJ35*Inflator!$B$8</f>
        <v>0</v>
      </c>
      <c r="AK35" s="204">
        <f>'FY 2016 by Agency'!AK35</f>
        <v>109217</v>
      </c>
      <c r="AL35" s="204">
        <f>'FY 2016 by Agency'!AL35</f>
        <v>0</v>
      </c>
      <c r="AM35" s="204">
        <f>'FY 2016 by Agency'!AM35</f>
        <v>109217</v>
      </c>
      <c r="AN35" s="204">
        <f>'FY 2016 by Agency'!AN35</f>
        <v>87413</v>
      </c>
      <c r="AO35" s="204">
        <f>'FY 2016 by Agency'!AO35</f>
        <v>121453</v>
      </c>
      <c r="AP35" s="204">
        <f>'FY 2016 by Agency'!AP35</f>
        <v>14702</v>
      </c>
      <c r="AQ35" s="204">
        <f>'FY 2016 by Agency'!AQ35</f>
        <v>0</v>
      </c>
      <c r="AR35" s="204">
        <f>'FY 2016 by Agency'!AR35</f>
        <v>14702</v>
      </c>
      <c r="AS35" s="204">
        <f>'FY 2016 by Agency'!AS35</f>
        <v>118809.95961000001</v>
      </c>
      <c r="AT35" s="204">
        <f t="shared" si="20"/>
        <v>-104795.24248120302</v>
      </c>
      <c r="AU35" s="304">
        <f t="shared" si="21"/>
        <v>-0.87696787227276285</v>
      </c>
      <c r="AV35" s="204">
        <f t="shared" si="22"/>
        <v>-28343.016893759414</v>
      </c>
      <c r="AW35" s="304">
        <f t="shared" si="23"/>
        <v>-0.19260919872072935</v>
      </c>
      <c r="AX35" s="305" t="s">
        <v>396</v>
      </c>
      <c r="AY35" s="207">
        <v>121887.09804</v>
      </c>
      <c r="AZ35" s="207">
        <f t="shared" si="24"/>
        <v>434.09803999999713</v>
      </c>
      <c r="BA35" s="207">
        <f t="shared" si="25"/>
        <v>-27908.918853759416</v>
      </c>
      <c r="BB35" s="207">
        <f t="shared" si="26"/>
        <v>119244.05765</v>
      </c>
      <c r="BC35" s="304">
        <f t="shared" si="27"/>
        <v>-0.189659220743295</v>
      </c>
      <c r="BD35" s="306">
        <v>0</v>
      </c>
      <c r="BE35" s="199">
        <f t="shared" si="5"/>
        <v>0</v>
      </c>
      <c r="BF35" s="317">
        <v>861</v>
      </c>
      <c r="BH35" s="317">
        <v>56</v>
      </c>
      <c r="BI35" s="319">
        <v>121617</v>
      </c>
      <c r="BJ35" s="207">
        <f t="shared" si="28"/>
        <v>-270.09803999999713</v>
      </c>
      <c r="BK35" s="200">
        <f t="shared" si="29"/>
        <v>136319</v>
      </c>
      <c r="BL35" s="307">
        <f>'FY 2016 by Agency'!BB35*Inflator!$E$13</f>
        <v>114464.74777992982</v>
      </c>
      <c r="BM35" s="204">
        <f t="shared" si="30"/>
        <v>-32688.228723829598</v>
      </c>
      <c r="BN35" s="199">
        <f t="shared" si="31"/>
        <v>-0.22213773380924096</v>
      </c>
      <c r="BO35" s="204">
        <f>'FY 2016 by Agency'!AX35*Inflator!$E$13</f>
        <v>133715.60909368325</v>
      </c>
      <c r="BP35" s="204">
        <f t="shared" si="32"/>
        <v>-13437.367410076171</v>
      </c>
      <c r="BQ35" s="199">
        <f t="shared" si="33"/>
        <v>-9.1315634446122659E-2</v>
      </c>
      <c r="BR35" s="204">
        <f>'FY 2016 by Agency'!BE35*Inflator!$E$14</f>
        <v>111989.31346841477</v>
      </c>
      <c r="BS35" s="204">
        <f t="shared" si="34"/>
        <v>-21726.295625268482</v>
      </c>
      <c r="BT35" s="199">
        <f t="shared" si="35"/>
        <v>-0.16248137201429266</v>
      </c>
      <c r="BU35" s="315">
        <f>'FY 2016 by Agency'!BL35*Inflator!$E$14</f>
        <v>130485.28605482717</v>
      </c>
      <c r="BV35" s="204">
        <f t="shared" si="36"/>
        <v>16020.53827489735</v>
      </c>
      <c r="BW35" s="309">
        <f>128292-2200</f>
        <v>126092</v>
      </c>
      <c r="BX35" s="206">
        <f>'FY 2016 by Agency'!BW35*Inflator!E15</f>
        <v>153408.6839929639</v>
      </c>
      <c r="BY35" s="204">
        <f>'FY 2016 by Agency'!BZ35*Inflator!$E$15</f>
        <v>120489.77044854881</v>
      </c>
      <c r="BZ35" s="206">
        <f t="shared" si="37"/>
        <v>14102.686531585234</v>
      </c>
      <c r="CA35" s="199">
        <f t="shared" si="38"/>
        <v>0.12592885959214961</v>
      </c>
      <c r="CB35" s="308">
        <f>'FY 2016 by Agency'!CF35*Inflator!$E$16</f>
        <v>126659.5477909327</v>
      </c>
      <c r="CC35" s="206">
        <f t="shared" si="39"/>
        <v>6169.7773423838953</v>
      </c>
      <c r="CD35" s="304">
        <f t="shared" si="40"/>
        <v>5.1205818713203503E-2</v>
      </c>
      <c r="CE35" s="206">
        <f>'FY 2016 by Agency'!CK35*Inflator!$E$17</f>
        <v>161521.39756304905</v>
      </c>
      <c r="CF35" s="206">
        <f>CE35-CB35</f>
        <v>34861.849772116344</v>
      </c>
      <c r="CG35" s="562">
        <f>CF35/CB35</f>
        <v>0.2752405987558092</v>
      </c>
      <c r="CH35" s="753">
        <f>'FY 2016 by Agency'!CN35*Inflator!$E$18</f>
        <v>162340</v>
      </c>
      <c r="CI35" s="753">
        <f>CH35-CE35</f>
        <v>818.60243695095414</v>
      </c>
      <c r="CJ35" s="66">
        <f>CI35/CE35</f>
        <v>5.068074257043355E-3</v>
      </c>
    </row>
    <row r="36" spans="1:88" s="317" customFormat="1" ht="18" customHeight="1" x14ac:dyDescent="0.25">
      <c r="A36" s="314" t="s">
        <v>157</v>
      </c>
      <c r="B36" s="310" t="s">
        <v>132</v>
      </c>
      <c r="C36" s="310" t="s">
        <v>132</v>
      </c>
      <c r="D36" s="310" t="s">
        <v>132</v>
      </c>
      <c r="E36" s="310" t="s">
        <v>132</v>
      </c>
      <c r="F36" s="310" t="s">
        <v>132</v>
      </c>
      <c r="G36" s="310" t="s">
        <v>132</v>
      </c>
      <c r="H36" s="310" t="s">
        <v>132</v>
      </c>
      <c r="I36" s="310" t="s">
        <v>132</v>
      </c>
      <c r="J36" s="310" t="s">
        <v>132</v>
      </c>
      <c r="K36" s="310" t="s">
        <v>132</v>
      </c>
      <c r="L36" s="310" t="s">
        <v>132</v>
      </c>
      <c r="M36" s="310" t="s">
        <v>132</v>
      </c>
      <c r="N36" s="310" t="s">
        <v>132</v>
      </c>
      <c r="O36" s="310" t="s">
        <v>132</v>
      </c>
      <c r="P36" s="310" t="s">
        <v>132</v>
      </c>
      <c r="Q36" s="310" t="s">
        <v>132</v>
      </c>
      <c r="R36" s="310" t="s">
        <v>132</v>
      </c>
      <c r="S36" s="310" t="s">
        <v>132</v>
      </c>
      <c r="T36" s="310" t="s">
        <v>132</v>
      </c>
      <c r="U36" s="310" t="s">
        <v>132</v>
      </c>
      <c r="V36" s="310" t="s">
        <v>132</v>
      </c>
      <c r="W36" s="310" t="s">
        <v>132</v>
      </c>
      <c r="X36" s="310" t="s">
        <v>132</v>
      </c>
      <c r="Y36" s="310" t="s">
        <v>132</v>
      </c>
      <c r="Z36" s="310" t="s">
        <v>132</v>
      </c>
      <c r="AA36" s="310" t="s">
        <v>132</v>
      </c>
      <c r="AB36" s="310" t="s">
        <v>132</v>
      </c>
      <c r="AC36" s="310" t="s">
        <v>132</v>
      </c>
      <c r="AD36" s="204">
        <f>'FY 2016 by Agency'!AD36*Inflator!$E$12</f>
        <v>0</v>
      </c>
      <c r="AE36" s="204">
        <f>'FY 2016 by Agency'!AE36*Inflator!$B$8</f>
        <v>0</v>
      </c>
      <c r="AF36" s="204">
        <f>'FY 2016 by Agency'!AF36*Inflator!$E$12</f>
        <v>0</v>
      </c>
      <c r="AG36" s="310" t="s">
        <v>132</v>
      </c>
      <c r="AH36" s="310" t="s">
        <v>132</v>
      </c>
      <c r="AI36" s="204">
        <f>'FY 2016 by Agency'!AI36*Inflator!$B$8</f>
        <v>0</v>
      </c>
      <c r="AJ36" s="204">
        <f>'FY 2016 by Agency'!AJ36*Inflator!$B$8</f>
        <v>0</v>
      </c>
      <c r="AK36" s="204">
        <f>'FY 2016 by Agency'!AK36</f>
        <v>0</v>
      </c>
      <c r="AL36" s="204">
        <f>'FY 2016 by Agency'!AL36</f>
        <v>0</v>
      </c>
      <c r="AM36" s="204">
        <f>'FY 2016 by Agency'!AM36</f>
        <v>0</v>
      </c>
      <c r="AN36" s="204">
        <f>'FY 2016 by Agency'!AN36</f>
        <v>1000</v>
      </c>
      <c r="AO36" s="204">
        <f>'FY 2016 by Agency'!AO36</f>
        <v>1000</v>
      </c>
      <c r="AP36" s="204">
        <f>'FY 2016 by Agency'!AP36</f>
        <v>0</v>
      </c>
      <c r="AQ36" s="204">
        <f>'FY 2016 by Agency'!AQ36</f>
        <v>0</v>
      </c>
      <c r="AR36" s="204">
        <f>'FY 2016 by Agency'!AR36</f>
        <v>0</v>
      </c>
      <c r="AS36" s="204">
        <f>'FY 2016 by Agency'!AS36</f>
        <v>196.37821</v>
      </c>
      <c r="AT36" s="204">
        <f t="shared" si="20"/>
        <v>0</v>
      </c>
      <c r="AU36" s="304"/>
      <c r="AV36" s="204">
        <f t="shared" si="22"/>
        <v>196.37821</v>
      </c>
      <c r="AW36" s="304" t="e">
        <f t="shared" si="23"/>
        <v>#DIV/0!</v>
      </c>
      <c r="AX36" s="305" t="s">
        <v>397</v>
      </c>
      <c r="AY36" s="207">
        <v>2500</v>
      </c>
      <c r="AZ36" s="207">
        <f t="shared" si="24"/>
        <v>1500</v>
      </c>
      <c r="BA36" s="207">
        <f t="shared" si="25"/>
        <v>1696.3782100000001</v>
      </c>
      <c r="BB36" s="207">
        <f t="shared" si="26"/>
        <v>1696.3782100000001</v>
      </c>
      <c r="BC36" s="304" t="e">
        <f t="shared" si="27"/>
        <v>#DIV/0!</v>
      </c>
      <c r="BD36" s="306">
        <v>0</v>
      </c>
      <c r="BE36" s="199">
        <f t="shared" si="5"/>
        <v>0</v>
      </c>
      <c r="BI36" s="318">
        <v>3182</v>
      </c>
      <c r="BJ36" s="207">
        <f t="shared" si="28"/>
        <v>682</v>
      </c>
      <c r="BK36" s="200">
        <f t="shared" si="29"/>
        <v>3182</v>
      </c>
      <c r="BL36" s="307">
        <f>'FY 2016 by Agency'!BB36*Inflator!$E$13</f>
        <v>215.91415643271284</v>
      </c>
      <c r="BM36" s="204">
        <f t="shared" si="30"/>
        <v>215.91415643271284</v>
      </c>
      <c r="BN36" s="199" t="e">
        <f t="shared" si="31"/>
        <v>#DIV/0!</v>
      </c>
      <c r="BO36" s="204">
        <f>'FY 2016 by Agency'!AX36*Inflator!$E$13</f>
        <v>3498.5492828806837</v>
      </c>
      <c r="BP36" s="204">
        <f t="shared" si="32"/>
        <v>3498.5492828806837</v>
      </c>
      <c r="BQ36" s="199" t="e">
        <f t="shared" si="33"/>
        <v>#DIV/0!</v>
      </c>
      <c r="BR36" s="204">
        <f>'FY 2016 by Agency'!BE36*Inflator!$E$14</f>
        <v>190.02711561382597</v>
      </c>
      <c r="BS36" s="204">
        <f t="shared" si="34"/>
        <v>-3308.5221672668577</v>
      </c>
      <c r="BT36" s="199">
        <f t="shared" si="35"/>
        <v>-0.94568402493465553</v>
      </c>
      <c r="BU36" s="315">
        <f>'FY 2016 by Agency'!BL36*Inflator!$E$14</f>
        <v>190.02711561382597</v>
      </c>
      <c r="BV36" s="204">
        <f t="shared" si="36"/>
        <v>-25.887040818886874</v>
      </c>
      <c r="BW36" s="206">
        <v>2496</v>
      </c>
      <c r="BX36" s="206">
        <f>'FY 2016 by Agency'!BW36*Inflator!E15</f>
        <v>2636.4960422163585</v>
      </c>
      <c r="BY36" s="204">
        <f>'FY 2016 by Agency'!BZ36*Inflator!$E$15</f>
        <v>526.03166226912924</v>
      </c>
      <c r="BZ36" s="206">
        <f t="shared" si="37"/>
        <v>2305.972884386174</v>
      </c>
      <c r="CA36" s="199">
        <f t="shared" si="38"/>
        <v>12.134967564694206</v>
      </c>
      <c r="CB36" s="308">
        <f>'FY 2016 by Agency'!CF36*Inflator!$E$16</f>
        <v>966.55703147559916</v>
      </c>
      <c r="CC36" s="206">
        <f t="shared" si="39"/>
        <v>440.52536920646992</v>
      </c>
      <c r="CD36" s="304">
        <f t="shared" si="40"/>
        <v>0.83745029207212918</v>
      </c>
      <c r="CE36" s="206">
        <f>'FY 2016 by Agency'!CK36*Inflator!$E$17</f>
        <v>1633.5505809011054</v>
      </c>
      <c r="CF36" s="206">
        <f t="shared" si="41"/>
        <v>666.99354942550622</v>
      </c>
      <c r="CG36" s="562">
        <f t="shared" si="42"/>
        <v>0.69007159195483492</v>
      </c>
      <c r="CH36" s="753">
        <f>'FY 2016 by Agency'!CN36*Inflator!$E$18</f>
        <v>1489</v>
      </c>
      <c r="CI36" s="753">
        <f t="shared" si="43"/>
        <v>-144.55058090110538</v>
      </c>
      <c r="CJ36" s="66">
        <f t="shared" si="44"/>
        <v>-8.8488585900638489E-2</v>
      </c>
    </row>
    <row r="37" spans="1:88" s="317" customFormat="1" ht="18" customHeight="1" x14ac:dyDescent="0.25">
      <c r="A37" s="314" t="s">
        <v>158</v>
      </c>
      <c r="B37" s="310" t="s">
        <v>132</v>
      </c>
      <c r="C37" s="310" t="s">
        <v>132</v>
      </c>
      <c r="D37" s="310" t="s">
        <v>132</v>
      </c>
      <c r="E37" s="310" t="s">
        <v>132</v>
      </c>
      <c r="F37" s="310" t="s">
        <v>132</v>
      </c>
      <c r="G37" s="310" t="s">
        <v>132</v>
      </c>
      <c r="H37" s="310" t="s">
        <v>132</v>
      </c>
      <c r="I37" s="310" t="s">
        <v>132</v>
      </c>
      <c r="J37" s="310" t="s">
        <v>132</v>
      </c>
      <c r="K37" s="310" t="s">
        <v>132</v>
      </c>
      <c r="L37" s="310" t="s">
        <v>132</v>
      </c>
      <c r="M37" s="310" t="s">
        <v>132</v>
      </c>
      <c r="N37" s="310" t="s">
        <v>132</v>
      </c>
      <c r="O37" s="310" t="s">
        <v>132</v>
      </c>
      <c r="P37" s="310" t="s">
        <v>132</v>
      </c>
      <c r="Q37" s="310" t="s">
        <v>132</v>
      </c>
      <c r="R37" s="310" t="s">
        <v>132</v>
      </c>
      <c r="S37" s="310" t="s">
        <v>132</v>
      </c>
      <c r="T37" s="310" t="s">
        <v>132</v>
      </c>
      <c r="U37" s="310" t="s">
        <v>132</v>
      </c>
      <c r="V37" s="310" t="s">
        <v>132</v>
      </c>
      <c r="W37" s="310" t="s">
        <v>132</v>
      </c>
      <c r="X37" s="310" t="s">
        <v>132</v>
      </c>
      <c r="Y37" s="310" t="s">
        <v>132</v>
      </c>
      <c r="Z37" s="310" t="s">
        <v>132</v>
      </c>
      <c r="AA37" s="310" t="s">
        <v>132</v>
      </c>
      <c r="AB37" s="310" t="s">
        <v>132</v>
      </c>
      <c r="AC37" s="310" t="s">
        <v>132</v>
      </c>
      <c r="AD37" s="204">
        <f>'FY 2016 by Agency'!AD37*Inflator!$E$12</f>
        <v>0</v>
      </c>
      <c r="AE37" s="204">
        <f>'FY 2016 by Agency'!AE38*Inflator!$B$8</f>
        <v>0</v>
      </c>
      <c r="AF37" s="204">
        <f>'FY 2016 by Agency'!AF37*Inflator!$E$12</f>
        <v>0</v>
      </c>
      <c r="AG37" s="310" t="s">
        <v>132</v>
      </c>
      <c r="AH37" s="310" t="s">
        <v>132</v>
      </c>
      <c r="AI37" s="204">
        <f>'FY 2016 by Agency'!AI38*Inflator!$B$8</f>
        <v>0</v>
      </c>
      <c r="AJ37" s="204">
        <f>'FY 2016 by Agency'!AJ38*Inflator!$B$8</f>
        <v>0</v>
      </c>
      <c r="AK37" s="204">
        <f>'FY 2016 by Agency'!AK38</f>
        <v>0</v>
      </c>
      <c r="AL37" s="204">
        <f>'FY 2016 by Agency'!AL38</f>
        <v>0</v>
      </c>
      <c r="AM37" s="204">
        <f>'FY 2016 by Agency'!AM38</f>
        <v>0</v>
      </c>
      <c r="AN37" s="204">
        <f>'FY 2016 by Agency'!AN38</f>
        <v>123860</v>
      </c>
      <c r="AO37" s="204">
        <f>'FY 2016 by Agency'!AO38</f>
        <v>124425</v>
      </c>
      <c r="AP37" s="204">
        <f>'FY 2016 by Agency'!AP38</f>
        <v>0</v>
      </c>
      <c r="AQ37" s="204">
        <f>'FY 2016 by Agency'!AQ38</f>
        <v>0</v>
      </c>
      <c r="AR37" s="204">
        <f>'FY 2016 by Agency'!AR38</f>
        <v>0</v>
      </c>
      <c r="AS37" s="204">
        <f>'FY 2016 by Agency'!AS38</f>
        <v>2951</v>
      </c>
      <c r="AT37" s="204">
        <f t="shared" si="20"/>
        <v>0</v>
      </c>
      <c r="AU37" s="304"/>
      <c r="AV37" s="204">
        <f t="shared" si="22"/>
        <v>2951</v>
      </c>
      <c r="AW37" s="304" t="e">
        <f t="shared" si="23"/>
        <v>#DIV/0!</v>
      </c>
      <c r="AX37" s="320" t="s">
        <v>398</v>
      </c>
      <c r="AY37" s="207">
        <v>124021.132</v>
      </c>
      <c r="AZ37" s="207">
        <f t="shared" si="24"/>
        <v>-403.86800000000221</v>
      </c>
      <c r="BA37" s="207">
        <f>+AZ37+AV37</f>
        <v>2547.1319999999978</v>
      </c>
      <c r="BB37" s="207">
        <f t="shared" si="26"/>
        <v>2547.1319999999978</v>
      </c>
      <c r="BC37" s="304" t="e">
        <f t="shared" si="27"/>
        <v>#DIV/0!</v>
      </c>
      <c r="BD37" s="306">
        <v>1401.556</v>
      </c>
      <c r="BE37" s="199">
        <f t="shared" si="5"/>
        <v>1.1300945067974385E-2</v>
      </c>
      <c r="BI37" s="318">
        <v>121004</v>
      </c>
      <c r="BJ37" s="207">
        <f t="shared" si="28"/>
        <v>-3017.1319999999978</v>
      </c>
      <c r="BK37" s="200">
        <f>BB37+AP37+AQ37</f>
        <v>2547.1319999999978</v>
      </c>
      <c r="BL37" s="307">
        <f>'FY 2016 by Agency'!BB37*Inflator!$E$13</f>
        <v>135925.07747635641</v>
      </c>
      <c r="BM37" s="204">
        <f t="shared" si="30"/>
        <v>135925.07747635641</v>
      </c>
      <c r="BN37" s="199" t="e">
        <f t="shared" si="31"/>
        <v>#DIV/0!</v>
      </c>
      <c r="BO37" s="204">
        <f>'FY 2016 by Agency'!AX37*Inflator!$E$13</f>
        <v>0</v>
      </c>
      <c r="BP37" s="204">
        <f t="shared" si="32"/>
        <v>0</v>
      </c>
      <c r="BQ37" s="199" t="e">
        <f t="shared" si="33"/>
        <v>#DIV/0!</v>
      </c>
      <c r="BR37" s="204">
        <f>'FY 2016 by Agency'!BE37*Inflator!$E$14</f>
        <v>0</v>
      </c>
      <c r="BS37" s="204">
        <f t="shared" si="34"/>
        <v>0</v>
      </c>
      <c r="BT37" s="199" t="e">
        <f t="shared" si="35"/>
        <v>#DIV/0!</v>
      </c>
      <c r="BU37" s="315">
        <f>'FY 2016 by Agency'!BL37*Inflator!$E$14</f>
        <v>0</v>
      </c>
      <c r="BV37" s="204">
        <f t="shared" si="36"/>
        <v>-135925.07747635641</v>
      </c>
      <c r="BW37" s="206">
        <v>0</v>
      </c>
      <c r="BX37" s="206">
        <f>'FY 2016 by Agency'!BW37*Inflator!E15</f>
        <v>0</v>
      </c>
      <c r="BY37" s="204">
        <f>'FY 2016 by Agency'!BZ37*Inflator!$E$15</f>
        <v>0</v>
      </c>
      <c r="BZ37" s="206">
        <f t="shared" si="37"/>
        <v>0</v>
      </c>
      <c r="CA37" s="199" t="e">
        <f t="shared" si="38"/>
        <v>#DIV/0!</v>
      </c>
      <c r="CB37" s="308">
        <f>'FY 2016 by Agency'!CF37*Inflator!$E$16</f>
        <v>0</v>
      </c>
      <c r="CC37" s="206">
        <f t="shared" si="39"/>
        <v>0</v>
      </c>
      <c r="CD37" s="304" t="e">
        <f t="shared" si="40"/>
        <v>#DIV/0!</v>
      </c>
      <c r="CE37" s="206">
        <f>'FY 2016 by Agency'!CK37*Inflator!$E$17</f>
        <v>0</v>
      </c>
      <c r="CF37" s="206">
        <f t="shared" si="41"/>
        <v>0</v>
      </c>
      <c r="CG37" s="562" t="e">
        <f t="shared" si="42"/>
        <v>#DIV/0!</v>
      </c>
      <c r="CH37" s="753">
        <f>'FY 2016 by Agency'!CN37*Inflator!$E$18</f>
        <v>0</v>
      </c>
      <c r="CI37" s="753">
        <f t="shared" si="43"/>
        <v>0</v>
      </c>
      <c r="CJ37" s="66" t="e">
        <f t="shared" si="44"/>
        <v>#DIV/0!</v>
      </c>
    </row>
    <row r="38" spans="1:88" s="317" customFormat="1" ht="18" customHeight="1" x14ac:dyDescent="0.25">
      <c r="A38" s="314" t="s">
        <v>399</v>
      </c>
      <c r="B38" s="310" t="s">
        <v>132</v>
      </c>
      <c r="C38" s="310" t="s">
        <v>132</v>
      </c>
      <c r="D38" s="310" t="s">
        <v>132</v>
      </c>
      <c r="E38" s="310" t="s">
        <v>132</v>
      </c>
      <c r="F38" s="310" t="s">
        <v>132</v>
      </c>
      <c r="G38" s="310" t="s">
        <v>132</v>
      </c>
      <c r="H38" s="310" t="s">
        <v>132</v>
      </c>
      <c r="I38" s="310" t="s">
        <v>132</v>
      </c>
      <c r="J38" s="310" t="s">
        <v>132</v>
      </c>
      <c r="K38" s="310" t="s">
        <v>132</v>
      </c>
      <c r="L38" s="310" t="s">
        <v>132</v>
      </c>
      <c r="M38" s="310" t="s">
        <v>132</v>
      </c>
      <c r="N38" s="310" t="s">
        <v>132</v>
      </c>
      <c r="O38" s="310" t="s">
        <v>132</v>
      </c>
      <c r="P38" s="310" t="s">
        <v>132</v>
      </c>
      <c r="Q38" s="310" t="s">
        <v>132</v>
      </c>
      <c r="R38" s="310" t="s">
        <v>132</v>
      </c>
      <c r="S38" s="310" t="s">
        <v>132</v>
      </c>
      <c r="T38" s="310" t="s">
        <v>132</v>
      </c>
      <c r="U38" s="310" t="s">
        <v>132</v>
      </c>
      <c r="V38" s="310" t="s">
        <v>132</v>
      </c>
      <c r="W38" s="310" t="s">
        <v>132</v>
      </c>
      <c r="X38" s="310" t="s">
        <v>132</v>
      </c>
      <c r="Y38" s="310" t="s">
        <v>132</v>
      </c>
      <c r="Z38" s="310" t="s">
        <v>132</v>
      </c>
      <c r="AA38" s="310" t="s">
        <v>132</v>
      </c>
      <c r="AB38" s="310" t="s">
        <v>132</v>
      </c>
      <c r="AC38" s="310" t="s">
        <v>132</v>
      </c>
      <c r="AD38" s="204">
        <f>'FY 2016 by Agency'!AD38*Inflator!$E$12</f>
        <v>0</v>
      </c>
      <c r="AE38" s="204"/>
      <c r="AF38" s="204">
        <f>'FY 2016 by Agency'!AF38*Inflator!$E$12</f>
        <v>0</v>
      </c>
      <c r="AG38" s="310" t="s">
        <v>132</v>
      </c>
      <c r="AH38" s="310" t="s">
        <v>132</v>
      </c>
      <c r="AI38" s="204"/>
      <c r="AJ38" s="204"/>
      <c r="AK38" s="204"/>
      <c r="AL38" s="204"/>
      <c r="AM38" s="204"/>
      <c r="AN38" s="204"/>
      <c r="AO38" s="204"/>
      <c r="AP38" s="204"/>
      <c r="AQ38" s="204"/>
      <c r="AR38" s="204"/>
      <c r="AS38" s="204"/>
      <c r="AT38" s="204"/>
      <c r="AU38" s="304"/>
      <c r="AV38" s="204"/>
      <c r="AW38" s="304"/>
      <c r="AX38" s="321"/>
      <c r="AY38" s="207"/>
      <c r="AZ38" s="207"/>
      <c r="BA38" s="207"/>
      <c r="BB38" s="207"/>
      <c r="BC38" s="304"/>
      <c r="BD38" s="306"/>
      <c r="BE38" s="199"/>
      <c r="BI38" s="318"/>
      <c r="BJ38" s="207"/>
      <c r="BK38" s="200">
        <f t="shared" si="29"/>
        <v>0</v>
      </c>
      <c r="BL38" s="307">
        <f>'FY 2016 by Agency'!BB38*Inflator!$E$13</f>
        <v>3244.5691180958192</v>
      </c>
      <c r="BM38" s="204">
        <f t="shared" si="30"/>
        <v>3244.5691180958192</v>
      </c>
      <c r="BN38" s="199" t="e">
        <f t="shared" si="31"/>
        <v>#DIV/0!</v>
      </c>
      <c r="BO38" s="204">
        <f>'FY 2016 by Agency'!AX38*Inflator!$E$13</f>
        <v>3244.5691180958192</v>
      </c>
      <c r="BP38" s="204">
        <f t="shared" si="32"/>
        <v>3244.5691180958192</v>
      </c>
      <c r="BQ38" s="199" t="e">
        <f t="shared" si="33"/>
        <v>#DIV/0!</v>
      </c>
      <c r="BR38" s="204">
        <f>'FY 2016 by Agency'!BE38*Inflator!$E$14</f>
        <v>0</v>
      </c>
      <c r="BS38" s="204">
        <f t="shared" si="34"/>
        <v>-3244.5691180958192</v>
      </c>
      <c r="BT38" s="199">
        <f t="shared" si="35"/>
        <v>-1</v>
      </c>
      <c r="BU38" s="315">
        <f>'FY 2016 by Agency'!BL38*Inflator!$E$14</f>
        <v>0</v>
      </c>
      <c r="BV38" s="204">
        <f t="shared" si="36"/>
        <v>-3244.5691180958192</v>
      </c>
      <c r="BW38" s="206">
        <v>2951</v>
      </c>
      <c r="BX38" s="206">
        <f>'FY 2016 by Agency'!BW38*Inflator!E15</f>
        <v>3117.1072999120488</v>
      </c>
      <c r="BY38" s="204">
        <f>'FY 2016 by Agency'!BZ38*Inflator!$E$15</f>
        <v>0</v>
      </c>
      <c r="BZ38" s="206">
        <f t="shared" si="37"/>
        <v>2951</v>
      </c>
      <c r="CA38" s="199" t="e">
        <f t="shared" si="38"/>
        <v>#DIV/0!</v>
      </c>
      <c r="CB38" s="308">
        <f>'FY 2016 by Agency'!CF38*Inflator!$E$16</f>
        <v>0</v>
      </c>
      <c r="CC38" s="206">
        <f t="shared" si="39"/>
        <v>0</v>
      </c>
      <c r="CD38" s="304" t="e">
        <f t="shared" si="40"/>
        <v>#DIV/0!</v>
      </c>
      <c r="CE38" s="206">
        <f>'FY 2016 by Agency'!CK37*Inflator!$E$17</f>
        <v>0</v>
      </c>
      <c r="CF38" s="206">
        <f t="shared" si="41"/>
        <v>0</v>
      </c>
      <c r="CG38" s="562" t="e">
        <f t="shared" si="42"/>
        <v>#DIV/0!</v>
      </c>
      <c r="CH38" s="753">
        <f>'FY 2016 by Agency'!CN37*Inflator!$E$18</f>
        <v>0</v>
      </c>
      <c r="CI38" s="753">
        <f t="shared" si="43"/>
        <v>0</v>
      </c>
      <c r="CJ38" s="66" t="e">
        <f t="shared" si="44"/>
        <v>#DIV/0!</v>
      </c>
    </row>
    <row r="39" spans="1:88" s="317" customFormat="1" ht="18" customHeight="1" x14ac:dyDescent="0.25">
      <c r="A39" s="68" t="s">
        <v>160</v>
      </c>
      <c r="B39" s="310" t="s">
        <v>132</v>
      </c>
      <c r="C39" s="310" t="s">
        <v>132</v>
      </c>
      <c r="D39" s="310" t="s">
        <v>132</v>
      </c>
      <c r="E39" s="310" t="s">
        <v>132</v>
      </c>
      <c r="F39" s="310" t="s">
        <v>132</v>
      </c>
      <c r="G39" s="310" t="s">
        <v>132</v>
      </c>
      <c r="H39" s="310" t="s">
        <v>132</v>
      </c>
      <c r="I39" s="310" t="s">
        <v>132</v>
      </c>
      <c r="J39" s="310" t="s">
        <v>132</v>
      </c>
      <c r="K39" s="310" t="s">
        <v>132</v>
      </c>
      <c r="L39" s="310" t="s">
        <v>132</v>
      </c>
      <c r="M39" s="310" t="s">
        <v>132</v>
      </c>
      <c r="N39" s="310" t="s">
        <v>132</v>
      </c>
      <c r="O39" s="310" t="s">
        <v>132</v>
      </c>
      <c r="P39" s="310" t="s">
        <v>132</v>
      </c>
      <c r="Q39" s="310" t="s">
        <v>132</v>
      </c>
      <c r="R39" s="310" t="s">
        <v>132</v>
      </c>
      <c r="S39" s="310" t="s">
        <v>132</v>
      </c>
      <c r="T39" s="310" t="s">
        <v>132</v>
      </c>
      <c r="U39" s="310" t="s">
        <v>132</v>
      </c>
      <c r="V39" s="310" t="s">
        <v>132</v>
      </c>
      <c r="W39" s="310" t="s">
        <v>132</v>
      </c>
      <c r="X39" s="204">
        <f>'FY 2016 by Agency'!X39*Inflator!$E$10</f>
        <v>11441.727532550016</v>
      </c>
      <c r="Y39" s="310" t="s">
        <v>132</v>
      </c>
      <c r="Z39" s="310" t="s">
        <v>132</v>
      </c>
      <c r="AA39" s="310" t="s">
        <v>132</v>
      </c>
      <c r="AB39" s="310" t="s">
        <v>132</v>
      </c>
      <c r="AC39" s="310" t="s">
        <v>132</v>
      </c>
      <c r="AD39" s="204">
        <f>'FY 2016 by Agency'!AD39*Inflator!$E$12</f>
        <v>0</v>
      </c>
      <c r="AE39" s="315">
        <f>'FY 2016 by Agency'!AE39*Inflator!$B$8</f>
        <v>0</v>
      </c>
      <c r="AF39" s="204">
        <f>'FY 2016 by Agency'!AF39*Inflator!$E$12</f>
        <v>0</v>
      </c>
      <c r="AG39" s="310" t="s">
        <v>132</v>
      </c>
      <c r="AH39" s="310" t="s">
        <v>132</v>
      </c>
      <c r="AI39" s="315">
        <f>'FY 2016 by Agency'!AI39*Inflator!$B$8</f>
        <v>0</v>
      </c>
      <c r="AJ39" s="315">
        <f>'FY 2016 by Agency'!AJ39*Inflator!$B$8</f>
        <v>0</v>
      </c>
      <c r="AK39" s="315">
        <f>'FY 2016 by Agency'!AK39</f>
        <v>0</v>
      </c>
      <c r="AL39" s="315">
        <f>'FY 2016 by Agency'!AL39</f>
        <v>0</v>
      </c>
      <c r="AM39" s="315">
        <f>'FY 2016 by Agency'!AM39</f>
        <v>0</v>
      </c>
      <c r="AN39" s="315">
        <f>'FY 2016 by Agency'!AN39</f>
        <v>0</v>
      </c>
      <c r="AO39" s="315">
        <f>'FY 2016 by Agency'!AO39</f>
        <v>0</v>
      </c>
      <c r="AP39" s="315">
        <f>'FY 2016 by Agency'!AP39</f>
        <v>0</v>
      </c>
      <c r="AQ39" s="315">
        <f>'FY 2016 by Agency'!AQ39</f>
        <v>0</v>
      </c>
      <c r="AR39" s="315">
        <f>'FY 2016 by Agency'!AR39</f>
        <v>0</v>
      </c>
      <c r="AS39" s="315">
        <f>'FY 2016 by Agency'!AS39</f>
        <v>0</v>
      </c>
      <c r="AT39" s="315">
        <f t="shared" si="20"/>
        <v>0</v>
      </c>
      <c r="AU39" s="316"/>
      <c r="AV39" s="315">
        <f t="shared" si="22"/>
        <v>0</v>
      </c>
      <c r="AW39" s="316" t="e">
        <f t="shared" si="23"/>
        <v>#DIV/0!</v>
      </c>
      <c r="AX39" s="321" t="s">
        <v>400</v>
      </c>
      <c r="AY39" s="322">
        <v>3279</v>
      </c>
      <c r="AZ39" s="322">
        <f t="shared" si="24"/>
        <v>3279</v>
      </c>
      <c r="BA39" s="322">
        <f t="shared" si="25"/>
        <v>3279</v>
      </c>
      <c r="BB39" s="316"/>
      <c r="BC39" s="316"/>
      <c r="BD39" s="323">
        <v>327.9</v>
      </c>
      <c r="BE39" s="324">
        <f t="shared" si="5"/>
        <v>9.9999999999999992E-2</v>
      </c>
      <c r="BI39" s="318">
        <v>2951</v>
      </c>
      <c r="BJ39" s="207">
        <f t="shared" si="28"/>
        <v>-328</v>
      </c>
      <c r="BK39" s="200">
        <f t="shared" si="29"/>
        <v>2951</v>
      </c>
      <c r="BL39" s="307">
        <f>'FY 2016 by Agency'!BB39*Inflator!$E$13</f>
        <v>0</v>
      </c>
      <c r="BM39" s="204">
        <f t="shared" si="30"/>
        <v>0</v>
      </c>
      <c r="BN39" s="199" t="e">
        <f t="shared" si="31"/>
        <v>#DIV/0!</v>
      </c>
      <c r="BO39" s="204">
        <f>'FY 2016 by Agency'!AX39*Inflator!$E$13</f>
        <v>0</v>
      </c>
      <c r="BP39" s="204">
        <f t="shared" si="32"/>
        <v>0</v>
      </c>
      <c r="BQ39" s="199" t="e">
        <f t="shared" si="33"/>
        <v>#DIV/0!</v>
      </c>
      <c r="BR39" s="204">
        <f>'FY 2016 by Agency'!BE39*Inflator!$E$14</f>
        <v>0</v>
      </c>
      <c r="BS39" s="204">
        <f t="shared" si="34"/>
        <v>0</v>
      </c>
      <c r="BT39" s="199" t="e">
        <f t="shared" si="35"/>
        <v>#DIV/0!</v>
      </c>
      <c r="BU39" s="315">
        <f>'FY 2016 by Agency'!BL39*Inflator!$E$14</f>
        <v>0</v>
      </c>
      <c r="BV39" s="204">
        <f t="shared" si="36"/>
        <v>0</v>
      </c>
      <c r="BW39" s="206">
        <v>0</v>
      </c>
      <c r="BX39" s="206">
        <f>'FY 2016 by Agency'!BW39*Inflator!E15</f>
        <v>0</v>
      </c>
      <c r="BY39" s="204">
        <f>'FY 2016 by Agency'!BZ39*Inflator!$E$15</f>
        <v>0</v>
      </c>
      <c r="BZ39" s="206">
        <f t="shared" si="37"/>
        <v>0</v>
      </c>
      <c r="CA39" s="199" t="e">
        <f t="shared" si="38"/>
        <v>#DIV/0!</v>
      </c>
      <c r="CB39" s="308">
        <f>'FY 2016 by Agency'!CF39*Inflator!$E$16</f>
        <v>0</v>
      </c>
      <c r="CC39" s="206">
        <f t="shared" si="39"/>
        <v>0</v>
      </c>
      <c r="CD39" s="304" t="e">
        <f t="shared" si="40"/>
        <v>#DIV/0!</v>
      </c>
      <c r="CE39" s="206">
        <f>'FY 2016 by Agency'!CK38*Inflator!$E$17</f>
        <v>0</v>
      </c>
      <c r="CF39" s="206">
        <f t="shared" si="41"/>
        <v>0</v>
      </c>
      <c r="CG39" s="562" t="e">
        <f t="shared" si="42"/>
        <v>#DIV/0!</v>
      </c>
      <c r="CH39" s="753">
        <f>'FY 2016 by Agency'!CN38*Inflator!$E$18</f>
        <v>0</v>
      </c>
      <c r="CI39" s="753">
        <f t="shared" si="43"/>
        <v>0</v>
      </c>
      <c r="CJ39" s="66" t="e">
        <f t="shared" si="44"/>
        <v>#DIV/0!</v>
      </c>
    </row>
    <row r="40" spans="1:88" s="317" customFormat="1" ht="18" customHeight="1" x14ac:dyDescent="0.25">
      <c r="A40" s="314" t="s">
        <v>161</v>
      </c>
      <c r="B40" s="310" t="s">
        <v>132</v>
      </c>
      <c r="C40" s="310" t="s">
        <v>132</v>
      </c>
      <c r="D40" s="310" t="s">
        <v>132</v>
      </c>
      <c r="E40" s="310" t="s">
        <v>132</v>
      </c>
      <c r="F40" s="310" t="s">
        <v>132</v>
      </c>
      <c r="G40" s="310" t="s">
        <v>132</v>
      </c>
      <c r="H40" s="310" t="s">
        <v>132</v>
      </c>
      <c r="I40" s="310" t="s">
        <v>132</v>
      </c>
      <c r="J40" s="310" t="s">
        <v>132</v>
      </c>
      <c r="K40" s="310" t="s">
        <v>132</v>
      </c>
      <c r="L40" s="310" t="s">
        <v>132</v>
      </c>
      <c r="M40" s="310" t="s">
        <v>132</v>
      </c>
      <c r="N40" s="310" t="s">
        <v>132</v>
      </c>
      <c r="O40" s="310" t="s">
        <v>132</v>
      </c>
      <c r="P40" s="310" t="s">
        <v>132</v>
      </c>
      <c r="Q40" s="310" t="s">
        <v>132</v>
      </c>
      <c r="R40" s="310" t="s">
        <v>132</v>
      </c>
      <c r="S40" s="310" t="s">
        <v>132</v>
      </c>
      <c r="T40" s="310" t="s">
        <v>132</v>
      </c>
      <c r="U40" s="310" t="s">
        <v>132</v>
      </c>
      <c r="V40" s="310" t="s">
        <v>132</v>
      </c>
      <c r="W40" s="310" t="s">
        <v>132</v>
      </c>
      <c r="X40" s="310" t="s">
        <v>132</v>
      </c>
      <c r="Y40" s="310" t="s">
        <v>132</v>
      </c>
      <c r="Z40" s="310" t="s">
        <v>132</v>
      </c>
      <c r="AA40" s="310" t="s">
        <v>132</v>
      </c>
      <c r="AB40" s="310" t="s">
        <v>132</v>
      </c>
      <c r="AC40" s="310" t="s">
        <v>132</v>
      </c>
      <c r="AD40" s="204">
        <f>'FY 2016 by Agency'!AD40*Inflator!$E$12</f>
        <v>0</v>
      </c>
      <c r="AE40" s="315"/>
      <c r="AF40" s="204"/>
      <c r="AG40" s="310"/>
      <c r="AH40" s="310"/>
      <c r="AI40" s="315"/>
      <c r="AJ40" s="315"/>
      <c r="AK40" s="315"/>
      <c r="AL40" s="315"/>
      <c r="AM40" s="315"/>
      <c r="AN40" s="315"/>
      <c r="AO40" s="315"/>
      <c r="AP40" s="315"/>
      <c r="AQ40" s="315"/>
      <c r="AR40" s="315"/>
      <c r="AS40" s="315"/>
      <c r="AT40" s="315"/>
      <c r="AU40" s="316"/>
      <c r="AV40" s="315"/>
      <c r="AW40" s="316"/>
      <c r="AX40" s="321"/>
      <c r="AY40" s="322"/>
      <c r="AZ40" s="322"/>
      <c r="BA40" s="322"/>
      <c r="BB40" s="316"/>
      <c r="BC40" s="316"/>
      <c r="BD40" s="323"/>
      <c r="BE40" s="324"/>
      <c r="BI40" s="318"/>
      <c r="BJ40" s="207"/>
      <c r="BK40" s="200"/>
      <c r="BL40" s="307">
        <f>'FY 2016 by Agency'!BB40*Inflator!$E$13</f>
        <v>21549.263511870613</v>
      </c>
      <c r="BM40" s="204"/>
      <c r="BN40" s="199"/>
      <c r="BO40" s="204"/>
      <c r="BP40" s="204"/>
      <c r="BQ40" s="199"/>
      <c r="BR40" s="204"/>
      <c r="BS40" s="204"/>
      <c r="BT40" s="199"/>
      <c r="BU40" s="315"/>
      <c r="BV40" s="204"/>
      <c r="BW40" s="206"/>
      <c r="BX40" s="206">
        <f>'FY 2016 by Agency'!BW40*Inflator!E15</f>
        <v>758.25774054529461</v>
      </c>
      <c r="BY40" s="204">
        <f>'FY 2016 by Agency'!BZ40*Inflator!$E$15</f>
        <v>0</v>
      </c>
      <c r="BZ40" s="206">
        <f t="shared" si="37"/>
        <v>0</v>
      </c>
      <c r="CA40" s="199" t="e">
        <f t="shared" si="38"/>
        <v>#DIV/0!</v>
      </c>
      <c r="CB40" s="308">
        <f>'FY 2016 by Agency'!CF40*Inflator!$E$16</f>
        <v>0</v>
      </c>
      <c r="CC40" s="206">
        <f t="shared" si="39"/>
        <v>0</v>
      </c>
      <c r="CD40" s="304" t="e">
        <f t="shared" si="40"/>
        <v>#DIV/0!</v>
      </c>
      <c r="CE40" s="206">
        <f>'FY 2016 by Agency'!CK39*Inflator!$E$17</f>
        <v>0</v>
      </c>
      <c r="CF40" s="206">
        <f t="shared" si="41"/>
        <v>0</v>
      </c>
      <c r="CG40" s="562" t="e">
        <f t="shared" si="42"/>
        <v>#DIV/0!</v>
      </c>
      <c r="CH40" s="753">
        <f>'FY 2016 by Agency'!CN39*Inflator!$E$18</f>
        <v>0</v>
      </c>
      <c r="CI40" s="753">
        <f t="shared" si="43"/>
        <v>0</v>
      </c>
      <c r="CJ40" s="66" t="e">
        <f t="shared" si="44"/>
        <v>#DIV/0!</v>
      </c>
    </row>
    <row r="41" spans="1:88" s="317" customFormat="1" ht="18" customHeight="1" x14ac:dyDescent="0.25">
      <c r="A41" s="314" t="s">
        <v>401</v>
      </c>
      <c r="B41" s="310" t="s">
        <v>132</v>
      </c>
      <c r="C41" s="310" t="s">
        <v>132</v>
      </c>
      <c r="D41" s="310" t="s">
        <v>132</v>
      </c>
      <c r="E41" s="310" t="s">
        <v>132</v>
      </c>
      <c r="F41" s="310" t="s">
        <v>132</v>
      </c>
      <c r="G41" s="310" t="s">
        <v>132</v>
      </c>
      <c r="H41" s="310" t="s">
        <v>132</v>
      </c>
      <c r="I41" s="310" t="s">
        <v>132</v>
      </c>
      <c r="J41" s="310" t="s">
        <v>132</v>
      </c>
      <c r="K41" s="310" t="s">
        <v>132</v>
      </c>
      <c r="L41" s="310" t="s">
        <v>132</v>
      </c>
      <c r="M41" s="310" t="s">
        <v>132</v>
      </c>
      <c r="N41" s="310" t="s">
        <v>132</v>
      </c>
      <c r="O41" s="310" t="s">
        <v>132</v>
      </c>
      <c r="P41" s="310" t="s">
        <v>132</v>
      </c>
      <c r="Q41" s="310" t="s">
        <v>132</v>
      </c>
      <c r="R41" s="310" t="s">
        <v>132</v>
      </c>
      <c r="S41" s="310" t="s">
        <v>132</v>
      </c>
      <c r="T41" s="310" t="s">
        <v>132</v>
      </c>
      <c r="U41" s="310" t="s">
        <v>132</v>
      </c>
      <c r="V41" s="310" t="s">
        <v>132</v>
      </c>
      <c r="W41" s="310" t="s">
        <v>132</v>
      </c>
      <c r="X41" s="310" t="s">
        <v>132</v>
      </c>
      <c r="Y41" s="310" t="s">
        <v>132</v>
      </c>
      <c r="Z41" s="310" t="s">
        <v>132</v>
      </c>
      <c r="AA41" s="310" t="s">
        <v>132</v>
      </c>
      <c r="AB41" s="310" t="s">
        <v>132</v>
      </c>
      <c r="AC41" s="310" t="s">
        <v>132</v>
      </c>
      <c r="AD41" s="204">
        <f>'FY 2016 by Agency'!AD41*Inflator!$E$12</f>
        <v>0</v>
      </c>
      <c r="AE41" s="315"/>
      <c r="AF41" s="204"/>
      <c r="AG41" s="310"/>
      <c r="AH41" s="310"/>
      <c r="AI41" s="315"/>
      <c r="AJ41" s="315"/>
      <c r="AK41" s="315"/>
      <c r="AL41" s="315"/>
      <c r="AM41" s="315"/>
      <c r="AN41" s="315"/>
      <c r="AO41" s="315"/>
      <c r="AP41" s="315"/>
      <c r="AQ41" s="315"/>
      <c r="AR41" s="315"/>
      <c r="AS41" s="315"/>
      <c r="AT41" s="315"/>
      <c r="AU41" s="316"/>
      <c r="AV41" s="315"/>
      <c r="AW41" s="316"/>
      <c r="AX41" s="321"/>
      <c r="AY41" s="322"/>
      <c r="AZ41" s="322"/>
      <c r="BA41" s="322"/>
      <c r="BB41" s="316"/>
      <c r="BC41" s="316"/>
      <c r="BD41" s="323"/>
      <c r="BE41" s="324"/>
      <c r="BI41" s="318"/>
      <c r="BJ41" s="207"/>
      <c r="BK41" s="200"/>
      <c r="BL41" s="307"/>
      <c r="BM41" s="204"/>
      <c r="BN41" s="199"/>
      <c r="BO41" s="204"/>
      <c r="BP41" s="204"/>
      <c r="BQ41" s="199"/>
      <c r="BR41" s="204"/>
      <c r="BS41" s="204"/>
      <c r="BT41" s="199"/>
      <c r="BU41" s="315"/>
      <c r="BV41" s="204"/>
      <c r="BW41" s="206"/>
      <c r="BX41" s="206">
        <f>'FY 2016 by Agency'!BW41*Inflator!E16</f>
        <v>0</v>
      </c>
      <c r="BY41" s="204">
        <f>'FY 2016 by Agency'!BZ41*Inflator!$E$15</f>
        <v>0</v>
      </c>
      <c r="BZ41" s="206">
        <f>BW41-BR41</f>
        <v>0</v>
      </c>
      <c r="CA41" s="199" t="e">
        <f>BZ41/BR41</f>
        <v>#DIV/0!</v>
      </c>
      <c r="CB41" s="308">
        <f>'FY 2016 by Agency'!CF41*Inflator!$E$16</f>
        <v>15606.410626624312</v>
      </c>
      <c r="CC41" s="206">
        <f t="shared" si="39"/>
        <v>15606.410626624312</v>
      </c>
      <c r="CD41" s="304" t="e">
        <f t="shared" si="40"/>
        <v>#DIV/0!</v>
      </c>
      <c r="CE41" s="206">
        <f>'FY 2016 by Agency'!CK40*Inflator!$E$17</f>
        <v>0</v>
      </c>
      <c r="CF41" s="206">
        <f t="shared" si="41"/>
        <v>-15606.410626624312</v>
      </c>
      <c r="CG41" s="562">
        <f t="shared" si="42"/>
        <v>-1</v>
      </c>
      <c r="CH41" s="753">
        <f>'FY 2016 by Agency'!CN40*Inflator!$E$18</f>
        <v>0</v>
      </c>
      <c r="CI41" s="753">
        <f t="shared" si="43"/>
        <v>0</v>
      </c>
      <c r="CJ41" s="66" t="e">
        <f t="shared" si="44"/>
        <v>#DIV/0!</v>
      </c>
    </row>
    <row r="42" spans="1:88" s="317" customFormat="1" ht="18" customHeight="1" x14ac:dyDescent="0.25">
      <c r="A42" s="314" t="s">
        <v>163</v>
      </c>
      <c r="B42" s="310" t="s">
        <v>132</v>
      </c>
      <c r="C42" s="310" t="s">
        <v>132</v>
      </c>
      <c r="D42" s="310" t="s">
        <v>132</v>
      </c>
      <c r="E42" s="310" t="s">
        <v>132</v>
      </c>
      <c r="F42" s="310" t="s">
        <v>132</v>
      </c>
      <c r="G42" s="310" t="s">
        <v>132</v>
      </c>
      <c r="H42" s="310" t="s">
        <v>132</v>
      </c>
      <c r="I42" s="310" t="s">
        <v>132</v>
      </c>
      <c r="J42" s="310" t="s">
        <v>132</v>
      </c>
      <c r="K42" s="310" t="s">
        <v>132</v>
      </c>
      <c r="L42" s="310" t="s">
        <v>132</v>
      </c>
      <c r="M42" s="310" t="s">
        <v>132</v>
      </c>
      <c r="N42" s="310" t="s">
        <v>132</v>
      </c>
      <c r="O42" s="310" t="s">
        <v>132</v>
      </c>
      <c r="P42" s="310" t="s">
        <v>132</v>
      </c>
      <c r="Q42" s="310" t="s">
        <v>132</v>
      </c>
      <c r="R42" s="310" t="s">
        <v>132</v>
      </c>
      <c r="S42" s="310" t="s">
        <v>132</v>
      </c>
      <c r="T42" s="310" t="s">
        <v>132</v>
      </c>
      <c r="U42" s="310" t="s">
        <v>132</v>
      </c>
      <c r="V42" s="310" t="s">
        <v>132</v>
      </c>
      <c r="W42" s="310" t="s">
        <v>132</v>
      </c>
      <c r="X42" s="310" t="s">
        <v>132</v>
      </c>
      <c r="Y42" s="310" t="s">
        <v>132</v>
      </c>
      <c r="Z42" s="310" t="s">
        <v>132</v>
      </c>
      <c r="AA42" s="310" t="s">
        <v>132</v>
      </c>
      <c r="AB42" s="310" t="s">
        <v>132</v>
      </c>
      <c r="AC42" s="310" t="s">
        <v>132</v>
      </c>
      <c r="AD42" s="204">
        <f>'FY 2016 by Agency'!AD42*Inflator!$E$12</f>
        <v>0</v>
      </c>
      <c r="AE42" s="315"/>
      <c r="AF42" s="204"/>
      <c r="AG42" s="310"/>
      <c r="AH42" s="310"/>
      <c r="AI42" s="315"/>
      <c r="AJ42" s="315"/>
      <c r="AK42" s="315"/>
      <c r="AL42" s="315"/>
      <c r="AM42" s="315"/>
      <c r="AN42" s="315"/>
      <c r="AO42" s="315"/>
      <c r="AP42" s="315"/>
      <c r="AQ42" s="315"/>
      <c r="AR42" s="315"/>
      <c r="AS42" s="315"/>
      <c r="AT42" s="315"/>
      <c r="AU42" s="316"/>
      <c r="AV42" s="315"/>
      <c r="AW42" s="316"/>
      <c r="AX42" s="321"/>
      <c r="AY42" s="322"/>
      <c r="AZ42" s="322"/>
      <c r="BA42" s="322"/>
      <c r="BB42" s="316"/>
      <c r="BC42" s="316"/>
      <c r="BD42" s="323"/>
      <c r="BE42" s="324"/>
      <c r="BI42" s="318"/>
      <c r="BJ42" s="207"/>
      <c r="BK42" s="200"/>
      <c r="BL42" s="307"/>
      <c r="BM42" s="204"/>
      <c r="BN42" s="199"/>
      <c r="BO42" s="204"/>
      <c r="BP42" s="204"/>
      <c r="BQ42" s="199"/>
      <c r="BR42" s="204"/>
      <c r="BS42" s="204"/>
      <c r="BT42" s="199"/>
      <c r="BU42" s="315"/>
      <c r="BV42" s="204"/>
      <c r="BW42" s="206"/>
      <c r="BX42" s="206">
        <f>'FY 2016 by Agency'!BW42*Inflator!E18</f>
        <v>0</v>
      </c>
      <c r="BY42" s="204">
        <f>'FY 2016 by Agency'!BZ42*Inflator!$E$15</f>
        <v>0</v>
      </c>
      <c r="BZ42" s="206">
        <f>BW42-BR42</f>
        <v>0</v>
      </c>
      <c r="CA42" s="199" t="e">
        <f>BZ42/BR42</f>
        <v>#DIV/0!</v>
      </c>
      <c r="CB42" s="308">
        <f>'FY 2016 by Agency'!CF42*Inflator!$E$16</f>
        <v>208.08547502165752</v>
      </c>
      <c r="CC42" s="206">
        <f t="shared" si="39"/>
        <v>208.08547502165752</v>
      </c>
      <c r="CD42" s="304" t="e">
        <f t="shared" si="40"/>
        <v>#DIV/0!</v>
      </c>
      <c r="CE42" s="206">
        <f>'FY 2016 by Agency'!CK41*Inflator!$E$17</f>
        <v>0</v>
      </c>
      <c r="CF42" s="206">
        <f t="shared" si="41"/>
        <v>-208.08547502165752</v>
      </c>
      <c r="CG42" s="562">
        <f t="shared" si="42"/>
        <v>-1</v>
      </c>
      <c r="CH42" s="753">
        <f>'FY 2016 by Agency'!CN41*Inflator!$E$18</f>
        <v>0</v>
      </c>
      <c r="CI42" s="753">
        <f t="shared" si="43"/>
        <v>0</v>
      </c>
      <c r="CJ42" s="66" t="e">
        <f t="shared" si="44"/>
        <v>#DIV/0!</v>
      </c>
    </row>
    <row r="43" spans="1:88" s="317" customFormat="1" ht="18" customHeight="1" x14ac:dyDescent="0.25">
      <c r="A43" s="314" t="s">
        <v>164</v>
      </c>
      <c r="B43" s="310"/>
      <c r="C43" s="310"/>
      <c r="D43" s="310"/>
      <c r="E43" s="310"/>
      <c r="F43" s="310"/>
      <c r="G43" s="310"/>
      <c r="H43" s="310"/>
      <c r="I43" s="310"/>
      <c r="J43" s="310"/>
      <c r="K43" s="310"/>
      <c r="L43" s="310"/>
      <c r="M43" s="310"/>
      <c r="N43" s="310"/>
      <c r="O43" s="310"/>
      <c r="P43" s="310"/>
      <c r="Q43" s="310"/>
      <c r="R43" s="310"/>
      <c r="S43" s="310"/>
      <c r="T43" s="310"/>
      <c r="U43" s="310"/>
      <c r="V43" s="310"/>
      <c r="W43" s="310"/>
      <c r="X43" s="310"/>
      <c r="Y43" s="310"/>
      <c r="Z43" s="310"/>
      <c r="AA43" s="310"/>
      <c r="AB43" s="310"/>
      <c r="AC43" s="310"/>
      <c r="AD43" s="204"/>
      <c r="AE43" s="315"/>
      <c r="AF43" s="204"/>
      <c r="AG43" s="310"/>
      <c r="AH43" s="310"/>
      <c r="AI43" s="315"/>
      <c r="AJ43" s="315"/>
      <c r="AK43" s="315"/>
      <c r="AL43" s="315"/>
      <c r="AM43" s="315"/>
      <c r="AN43" s="315"/>
      <c r="AO43" s="315"/>
      <c r="AP43" s="315"/>
      <c r="AQ43" s="315"/>
      <c r="AR43" s="315"/>
      <c r="AS43" s="315"/>
      <c r="AT43" s="315"/>
      <c r="AU43" s="316"/>
      <c r="AV43" s="315"/>
      <c r="AW43" s="316"/>
      <c r="AX43" s="321"/>
      <c r="AY43" s="322"/>
      <c r="AZ43" s="322"/>
      <c r="BA43" s="322"/>
      <c r="BB43" s="316"/>
      <c r="BC43" s="316"/>
      <c r="BD43" s="323"/>
      <c r="BE43" s="324"/>
      <c r="BI43" s="318"/>
      <c r="BJ43" s="207"/>
      <c r="BK43" s="200"/>
      <c r="BL43" s="307"/>
      <c r="BM43" s="204"/>
      <c r="BN43" s="199"/>
      <c r="BO43" s="204"/>
      <c r="BP43" s="204"/>
      <c r="BQ43" s="199"/>
      <c r="BR43" s="204"/>
      <c r="BS43" s="204"/>
      <c r="BT43" s="199"/>
      <c r="BU43" s="315"/>
      <c r="BV43" s="204"/>
      <c r="BW43" s="206"/>
      <c r="BX43" s="206">
        <f>'FY 2016 by Agency'!BW43*Inflator!E19</f>
        <v>0</v>
      </c>
      <c r="BY43" s="204">
        <f>'FY 2016 by Agency'!BZ43*Inflator!$E$15</f>
        <v>0</v>
      </c>
      <c r="BZ43" s="413">
        <f>BW43-BR43</f>
        <v>0</v>
      </c>
      <c r="CA43" s="324" t="e">
        <f>BZ43/BR43</f>
        <v>#DIV/0!</v>
      </c>
      <c r="CB43" s="308">
        <f>'FY 2016 by Agency'!CF43*Inflator!$E$16</f>
        <v>45.778804504764651</v>
      </c>
      <c r="CC43" s="413">
        <f>CB43-BY43</f>
        <v>45.778804504764651</v>
      </c>
      <c r="CD43" s="316" t="e">
        <f>CC43/BY43</f>
        <v>#DIV/0!</v>
      </c>
      <c r="CE43" s="206">
        <f>'FY 2016 by Agency'!CK42*Inflator!$E$17</f>
        <v>0</v>
      </c>
      <c r="CF43" s="206">
        <f t="shared" ref="CF43:CF48" si="47">CE43-CB43</f>
        <v>-45.778804504764651</v>
      </c>
      <c r="CG43" s="205">
        <f>CF43/CB43</f>
        <v>-1</v>
      </c>
      <c r="CH43" s="753">
        <f>'FY 2016 by Agency'!CN42*Inflator!$E$18</f>
        <v>0</v>
      </c>
      <c r="CI43" s="753">
        <f t="shared" si="43"/>
        <v>0</v>
      </c>
      <c r="CJ43" s="66" t="e">
        <f t="shared" si="44"/>
        <v>#DIV/0!</v>
      </c>
    </row>
    <row r="44" spans="1:88" s="317" customFormat="1" ht="18" customHeight="1" x14ac:dyDescent="0.25">
      <c r="A44" s="68" t="s">
        <v>165</v>
      </c>
      <c r="B44" s="302" t="s">
        <v>132</v>
      </c>
      <c r="C44" s="302" t="s">
        <v>132</v>
      </c>
      <c r="D44" s="302" t="s">
        <v>132</v>
      </c>
      <c r="E44" s="302" t="s">
        <v>132</v>
      </c>
      <c r="F44" s="302" t="s">
        <v>132</v>
      </c>
      <c r="G44" s="302" t="s">
        <v>132</v>
      </c>
      <c r="H44" s="302" t="s">
        <v>132</v>
      </c>
      <c r="I44" s="302" t="s">
        <v>132</v>
      </c>
      <c r="J44" s="302" t="s">
        <v>132</v>
      </c>
      <c r="K44" s="302" t="s">
        <v>132</v>
      </c>
      <c r="L44" s="302" t="s">
        <v>132</v>
      </c>
      <c r="M44" s="302" t="s">
        <v>132</v>
      </c>
      <c r="N44" s="302" t="s">
        <v>132</v>
      </c>
      <c r="O44" s="302" t="s">
        <v>132</v>
      </c>
      <c r="P44" s="302" t="s">
        <v>132</v>
      </c>
      <c r="Q44" s="302" t="s">
        <v>132</v>
      </c>
      <c r="R44" s="302" t="s">
        <v>132</v>
      </c>
      <c r="S44" s="302" t="s">
        <v>132</v>
      </c>
      <c r="T44" s="302" t="s">
        <v>132</v>
      </c>
      <c r="U44" s="302" t="s">
        <v>132</v>
      </c>
      <c r="V44" s="302" t="s">
        <v>132</v>
      </c>
      <c r="W44" s="302" t="s">
        <v>132</v>
      </c>
      <c r="X44" s="302" t="s">
        <v>132</v>
      </c>
      <c r="Y44" s="302" t="s">
        <v>132</v>
      </c>
      <c r="Z44" s="302" t="s">
        <v>132</v>
      </c>
      <c r="AA44" s="302" t="s">
        <v>132</v>
      </c>
      <c r="AB44" s="302" t="s">
        <v>132</v>
      </c>
      <c r="AC44" s="302" t="s">
        <v>132</v>
      </c>
      <c r="AD44" s="315">
        <f>'FY 2016 by Agency'!AD44*Inflator!$E$12</f>
        <v>0</v>
      </c>
      <c r="AE44" s="315"/>
      <c r="AF44" s="315">
        <f>'FY 2016 by Agency'!AF44*Inflator!$E$12</f>
        <v>0</v>
      </c>
      <c r="AG44" s="315"/>
      <c r="AH44" s="316"/>
      <c r="AI44" s="315"/>
      <c r="AJ44" s="315"/>
      <c r="AK44" s="315"/>
      <c r="AL44" s="315"/>
      <c r="AM44" s="315"/>
      <c r="AN44" s="315"/>
      <c r="AO44" s="315"/>
      <c r="AP44" s="315"/>
      <c r="AQ44" s="315"/>
      <c r="AR44" s="315"/>
      <c r="AS44" s="315"/>
      <c r="AT44" s="315"/>
      <c r="AU44" s="316"/>
      <c r="AV44" s="315"/>
      <c r="AW44" s="316"/>
      <c r="AX44" s="321"/>
      <c r="AY44" s="322"/>
      <c r="AZ44" s="322"/>
      <c r="BA44" s="322"/>
      <c r="BB44" s="316"/>
      <c r="BC44" s="316"/>
      <c r="BD44" s="323"/>
      <c r="BE44" s="324"/>
      <c r="BI44" s="318">
        <v>263</v>
      </c>
      <c r="BJ44" s="322">
        <f>BI44-AY44</f>
        <v>263</v>
      </c>
      <c r="BK44" s="318">
        <f>BI44+AP44+AQ44</f>
        <v>263</v>
      </c>
      <c r="BL44" s="432">
        <f>'FY 2016 by Agency'!BB44*Inflator!$E$13</f>
        <v>0</v>
      </c>
      <c r="BM44" s="315">
        <f>BL44-AF44</f>
        <v>0</v>
      </c>
      <c r="BN44" s="324" t="e">
        <f>BM44/AF44</f>
        <v>#DIV/0!</v>
      </c>
      <c r="BO44" s="315">
        <f>'FY 2016 by Agency'!AX44*Inflator!$E$13</f>
        <v>289.1635642355813</v>
      </c>
      <c r="BP44" s="315">
        <f>BO44-AF44</f>
        <v>289.1635642355813</v>
      </c>
      <c r="BQ44" s="324" t="e">
        <f>BP44/AF44</f>
        <v>#DIV/0!</v>
      </c>
      <c r="BR44" s="315">
        <f>'FY 2016 by Agency'!BE44*Inflator!$E$14</f>
        <v>93.403158522050049</v>
      </c>
      <c r="BS44" s="315">
        <f>BR44-BO44</f>
        <v>-195.76040571353127</v>
      </c>
      <c r="BT44" s="324">
        <f>BS44/BO44</f>
        <v>-0.67698849345364076</v>
      </c>
      <c r="BU44" s="315">
        <f>'FY 2016 by Agency'!BL44*Inflator!$E$14</f>
        <v>93.403158522050049</v>
      </c>
      <c r="BV44" s="315">
        <f>BU44-BL44</f>
        <v>93.403158522050049</v>
      </c>
      <c r="BW44" s="413">
        <v>835</v>
      </c>
      <c r="BX44" s="413">
        <f>'FY 2016 by Agency'!BW44*Inflator!E15</f>
        <v>882.0008795074757</v>
      </c>
      <c r="BY44" s="315">
        <f>'FY 2016 by Agency'!BZ44*Inflator!$E$15</f>
        <v>1099.5963060686015</v>
      </c>
      <c r="BZ44" s="413">
        <f>BW44-BR44</f>
        <v>741.59684147794997</v>
      </c>
      <c r="CA44" s="324">
        <f>BZ44/BR44</f>
        <v>7.9397405099836993</v>
      </c>
      <c r="CB44" s="695">
        <f>'FY 2016 by Agency'!CF44*Inflator!$E$16</f>
        <v>1432.6684955241119</v>
      </c>
      <c r="CC44" s="413">
        <f>CB44-BY44</f>
        <v>333.0721894555104</v>
      </c>
      <c r="CD44" s="316">
        <f>CC44/BY44</f>
        <v>0.30290406362526534</v>
      </c>
      <c r="CE44" s="413">
        <f>'FY 2016 by Agency'!CK44*Inflator!$E$17</f>
        <v>1529.41173136866</v>
      </c>
      <c r="CF44" s="413">
        <f t="shared" si="47"/>
        <v>96.743235844548053</v>
      </c>
      <c r="CG44" s="679">
        <f>CF44/CB44</f>
        <v>6.7526602383447085E-2</v>
      </c>
      <c r="CH44" s="779">
        <f>'FY 2016 by Agency'!CN44*Inflator!$E$18</f>
        <v>1564</v>
      </c>
      <c r="CI44" s="779">
        <f t="shared" si="43"/>
        <v>34.588268631340043</v>
      </c>
      <c r="CJ44" s="317">
        <f t="shared" si="44"/>
        <v>2.2615406905756662E-2</v>
      </c>
    </row>
    <row r="45" spans="1:88" s="317" customFormat="1" ht="18" customHeight="1" x14ac:dyDescent="0.25">
      <c r="A45" s="68" t="s">
        <v>499</v>
      </c>
      <c r="B45" s="302"/>
      <c r="C45" s="302"/>
      <c r="D45" s="302"/>
      <c r="E45" s="302"/>
      <c r="F45" s="302"/>
      <c r="G45" s="302"/>
      <c r="H45" s="302"/>
      <c r="I45" s="302"/>
      <c r="J45" s="302"/>
      <c r="K45" s="302"/>
      <c r="L45" s="302"/>
      <c r="M45" s="302"/>
      <c r="N45" s="302"/>
      <c r="O45" s="302"/>
      <c r="P45" s="302"/>
      <c r="Q45" s="302"/>
      <c r="R45" s="302"/>
      <c r="S45" s="302"/>
      <c r="T45" s="302"/>
      <c r="U45" s="302"/>
      <c r="V45" s="302"/>
      <c r="W45" s="302"/>
      <c r="X45" s="302"/>
      <c r="Y45" s="302"/>
      <c r="Z45" s="302"/>
      <c r="AA45" s="302"/>
      <c r="AB45" s="302"/>
      <c r="AC45" s="302"/>
      <c r="AD45" s="315"/>
      <c r="AE45" s="315"/>
      <c r="AF45" s="315"/>
      <c r="AG45" s="315"/>
      <c r="AH45" s="316"/>
      <c r="AI45" s="315"/>
      <c r="AJ45" s="315"/>
      <c r="AK45" s="315"/>
      <c r="AL45" s="315"/>
      <c r="AM45" s="315"/>
      <c r="AN45" s="315"/>
      <c r="AO45" s="315"/>
      <c r="AP45" s="315"/>
      <c r="AQ45" s="315"/>
      <c r="AR45" s="315"/>
      <c r="AS45" s="315"/>
      <c r="AT45" s="315"/>
      <c r="AU45" s="316"/>
      <c r="AV45" s="315"/>
      <c r="AW45" s="316"/>
      <c r="AX45" s="321"/>
      <c r="AY45" s="322"/>
      <c r="AZ45" s="322"/>
      <c r="BA45" s="322"/>
      <c r="BB45" s="316"/>
      <c r="BC45" s="316"/>
      <c r="BD45" s="323"/>
      <c r="BE45" s="324"/>
      <c r="BI45" s="318"/>
      <c r="BJ45" s="322"/>
      <c r="BK45" s="318"/>
      <c r="BL45" s="432"/>
      <c r="BM45" s="315"/>
      <c r="BN45" s="324"/>
      <c r="BO45" s="315"/>
      <c r="BP45" s="315"/>
      <c r="BQ45" s="324"/>
      <c r="BR45" s="315"/>
      <c r="BS45" s="315"/>
      <c r="BT45" s="324"/>
      <c r="BU45" s="315"/>
      <c r="BV45" s="315"/>
      <c r="BW45" s="413"/>
      <c r="BX45" s="413"/>
      <c r="BY45" s="315"/>
      <c r="BZ45" s="413"/>
      <c r="CA45" s="324"/>
      <c r="CB45" s="695">
        <f>'FY 2016 by Agency'!CF45*Inflator!$E$16</f>
        <v>0</v>
      </c>
      <c r="CC45" s="413">
        <f>CB45-BY45</f>
        <v>0</v>
      </c>
      <c r="CD45" s="316" t="e">
        <f>CC45/BY45</f>
        <v>#DIV/0!</v>
      </c>
      <c r="CE45" s="413">
        <f>'FY 2016 by Agency'!CK45*Inflator!$E$17</f>
        <v>0</v>
      </c>
      <c r="CF45" s="413">
        <f t="shared" si="47"/>
        <v>0</v>
      </c>
      <c r="CG45" s="679" t="e">
        <f>CF45/CB45</f>
        <v>#DIV/0!</v>
      </c>
      <c r="CH45" s="779">
        <f>'FY 2016 by Agency'!CN45*Inflator!$E$18</f>
        <v>1596</v>
      </c>
      <c r="CI45" s="779">
        <f>CH45-CE45</f>
        <v>1596</v>
      </c>
      <c r="CJ45" s="317" t="e">
        <f>CI45/CE45</f>
        <v>#DIV/0!</v>
      </c>
    </row>
    <row r="46" spans="1:88" s="317" customFormat="1" ht="18" customHeight="1" x14ac:dyDescent="0.25">
      <c r="A46" s="68" t="s">
        <v>502</v>
      </c>
      <c r="B46" s="302"/>
      <c r="C46" s="302"/>
      <c r="D46" s="302"/>
      <c r="E46" s="302"/>
      <c r="F46" s="302"/>
      <c r="G46" s="302"/>
      <c r="H46" s="302"/>
      <c r="I46" s="302"/>
      <c r="J46" s="302"/>
      <c r="K46" s="302"/>
      <c r="L46" s="302"/>
      <c r="M46" s="302"/>
      <c r="N46" s="302"/>
      <c r="O46" s="302"/>
      <c r="P46" s="302"/>
      <c r="Q46" s="302"/>
      <c r="R46" s="302"/>
      <c r="S46" s="302"/>
      <c r="T46" s="302"/>
      <c r="U46" s="302"/>
      <c r="V46" s="302"/>
      <c r="W46" s="302"/>
      <c r="X46" s="302"/>
      <c r="Y46" s="302"/>
      <c r="Z46" s="302"/>
      <c r="AA46" s="302"/>
      <c r="AB46" s="302"/>
      <c r="AC46" s="302"/>
      <c r="AD46" s="315"/>
      <c r="AE46" s="315"/>
      <c r="AF46" s="315"/>
      <c r="AG46" s="315"/>
      <c r="AH46" s="316"/>
      <c r="AI46" s="315"/>
      <c r="AJ46" s="315"/>
      <c r="AK46" s="315"/>
      <c r="AL46" s="315"/>
      <c r="AM46" s="315"/>
      <c r="AN46" s="315"/>
      <c r="AO46" s="315"/>
      <c r="AP46" s="315"/>
      <c r="AQ46" s="315"/>
      <c r="AR46" s="315"/>
      <c r="AS46" s="315"/>
      <c r="AT46" s="315"/>
      <c r="AU46" s="316"/>
      <c r="AV46" s="315"/>
      <c r="AW46" s="316"/>
      <c r="AX46" s="321"/>
      <c r="AY46" s="322"/>
      <c r="AZ46" s="322"/>
      <c r="BA46" s="322"/>
      <c r="BB46" s="316"/>
      <c r="BC46" s="316"/>
      <c r="BD46" s="323"/>
      <c r="BE46" s="324"/>
      <c r="BI46" s="318"/>
      <c r="BJ46" s="322"/>
      <c r="BK46" s="318"/>
      <c r="BL46" s="432"/>
      <c r="BM46" s="315"/>
      <c r="BN46" s="324"/>
      <c r="BO46" s="315"/>
      <c r="BP46" s="315"/>
      <c r="BQ46" s="324"/>
      <c r="BR46" s="315"/>
      <c r="BS46" s="315"/>
      <c r="BT46" s="324"/>
      <c r="BU46" s="315"/>
      <c r="BV46" s="315"/>
      <c r="BW46" s="413"/>
      <c r="BX46" s="413"/>
      <c r="BY46" s="315"/>
      <c r="BZ46" s="413"/>
      <c r="CA46" s="324"/>
      <c r="CB46" s="695">
        <f>'FY 2016 by Agency'!CF46*Inflator!$E$16</f>
        <v>0</v>
      </c>
      <c r="CC46" s="413">
        <f>CB46-BY46</f>
        <v>0</v>
      </c>
      <c r="CD46" s="316" t="e">
        <f>CC46/BY46</f>
        <v>#DIV/0!</v>
      </c>
      <c r="CE46" s="413">
        <f>'FY 2016 by Agency'!CK46*Inflator!$E$17</f>
        <v>0</v>
      </c>
      <c r="CF46" s="413">
        <f t="shared" si="47"/>
        <v>0</v>
      </c>
      <c r="CG46" s="679" t="e">
        <f>CF46/CB46</f>
        <v>#DIV/0!</v>
      </c>
      <c r="CH46" s="779">
        <f>'FY 2016 by Agency'!CN46*Inflator!$E$18</f>
        <v>5356</v>
      </c>
      <c r="CI46" s="779">
        <f>CH46-CE46</f>
        <v>5356</v>
      </c>
      <c r="CJ46" s="317" t="e">
        <f>CI46/CE46</f>
        <v>#DIV/0!</v>
      </c>
    </row>
    <row r="47" spans="1:88" s="317" customFormat="1" ht="18" customHeight="1" thickBot="1" x14ac:dyDescent="0.3">
      <c r="A47" s="68" t="s">
        <v>508</v>
      </c>
      <c r="B47" s="302"/>
      <c r="C47" s="302"/>
      <c r="D47" s="302"/>
      <c r="E47" s="302"/>
      <c r="F47" s="302"/>
      <c r="G47" s="302"/>
      <c r="H47" s="302"/>
      <c r="I47" s="302"/>
      <c r="J47" s="302"/>
      <c r="K47" s="302"/>
      <c r="L47" s="302"/>
      <c r="M47" s="302"/>
      <c r="N47" s="302"/>
      <c r="O47" s="302"/>
      <c r="P47" s="302"/>
      <c r="Q47" s="302"/>
      <c r="R47" s="302"/>
      <c r="S47" s="302"/>
      <c r="T47" s="302"/>
      <c r="U47" s="302"/>
      <c r="V47" s="302"/>
      <c r="W47" s="302"/>
      <c r="X47" s="302"/>
      <c r="Y47" s="302"/>
      <c r="Z47" s="302"/>
      <c r="AA47" s="302"/>
      <c r="AB47" s="302"/>
      <c r="AC47" s="302"/>
      <c r="AD47" s="315"/>
      <c r="AE47" s="315"/>
      <c r="AF47" s="315"/>
      <c r="AG47" s="315"/>
      <c r="AH47" s="316"/>
      <c r="AI47" s="315"/>
      <c r="AJ47" s="315"/>
      <c r="AK47" s="315"/>
      <c r="AL47" s="315"/>
      <c r="AM47" s="315"/>
      <c r="AN47" s="315"/>
      <c r="AO47" s="315"/>
      <c r="AP47" s="315"/>
      <c r="AQ47" s="315"/>
      <c r="AR47" s="315"/>
      <c r="AS47" s="315"/>
      <c r="AT47" s="315"/>
      <c r="AU47" s="316"/>
      <c r="AV47" s="315"/>
      <c r="AW47" s="316"/>
      <c r="AX47" s="321"/>
      <c r="AY47" s="322"/>
      <c r="AZ47" s="322"/>
      <c r="BA47" s="322"/>
      <c r="BB47" s="316"/>
      <c r="BC47" s="316"/>
      <c r="BD47" s="323"/>
      <c r="BE47" s="324"/>
      <c r="BI47" s="318"/>
      <c r="BJ47" s="322"/>
      <c r="BK47" s="318"/>
      <c r="BL47" s="432"/>
      <c r="BM47" s="315"/>
      <c r="BN47" s="324"/>
      <c r="BO47" s="315"/>
      <c r="BP47" s="315"/>
      <c r="BQ47" s="324"/>
      <c r="BR47" s="315"/>
      <c r="BS47" s="315"/>
      <c r="BT47" s="324"/>
      <c r="BU47" s="315"/>
      <c r="BV47" s="315"/>
      <c r="BW47" s="413"/>
      <c r="BX47" s="413"/>
      <c r="BY47" s="315"/>
      <c r="BZ47" s="413"/>
      <c r="CA47" s="324"/>
      <c r="CB47" s="695">
        <f>'FY 2016 by Agency'!CF47*Inflator!$E$16</f>
        <v>0</v>
      </c>
      <c r="CC47" s="413">
        <f>CB47-BY47</f>
        <v>0</v>
      </c>
      <c r="CD47" s="316" t="e">
        <f>CC47/BY47</f>
        <v>#DIV/0!</v>
      </c>
      <c r="CE47" s="413">
        <f>'FY 2016 by Agency'!CK47*Inflator!$E$17</f>
        <v>0</v>
      </c>
      <c r="CF47" s="413">
        <f t="shared" si="47"/>
        <v>0</v>
      </c>
      <c r="CG47" s="679" t="e">
        <f>CF47/CB47</f>
        <v>#DIV/0!</v>
      </c>
      <c r="CH47" s="779">
        <f>'FY 2016 by Agency'!CN47*Inflator!$E$18</f>
        <v>698</v>
      </c>
      <c r="CI47" s="779">
        <f>CH47-CE47</f>
        <v>698</v>
      </c>
      <c r="CJ47" s="317" t="e">
        <f>CI47/CE47</f>
        <v>#DIV/0!</v>
      </c>
    </row>
    <row r="48" spans="1:88" s="144" customFormat="1" ht="18" customHeight="1" x14ac:dyDescent="0.25">
      <c r="A48" s="335" t="s">
        <v>166</v>
      </c>
      <c r="B48" s="336">
        <f>'FY 2016 by Agency'!B48*Inflator!$E$2</f>
        <v>294086.9736842105</v>
      </c>
      <c r="C48" s="336">
        <f>'FY 2016 by Agency'!C48*Inflator!$E$3</f>
        <v>306398.39605873264</v>
      </c>
      <c r="D48" s="336">
        <f t="shared" si="6"/>
        <v>12311.422374522139</v>
      </c>
      <c r="E48" s="337">
        <f t="shared" si="7"/>
        <v>4.1863201964674905E-2</v>
      </c>
      <c r="F48" s="338">
        <f>'FY 2016 by Agency'!F48*Inflator!$E$4</f>
        <v>321620.21088694327</v>
      </c>
      <c r="G48" s="338">
        <f t="shared" si="8"/>
        <v>15221.814828210627</v>
      </c>
      <c r="H48" s="339">
        <f t="shared" si="9"/>
        <v>4.9679812375038671E-2</v>
      </c>
      <c r="I48" s="338">
        <f>'FY 2016 by Agency'!I48*Inflator!$E$5</f>
        <v>277177.75827445148</v>
      </c>
      <c r="J48" s="338">
        <f t="shared" si="10"/>
        <v>-44442.45261249179</v>
      </c>
      <c r="K48" s="339">
        <f t="shared" si="11"/>
        <v>-0.13818302180056188</v>
      </c>
      <c r="L48" s="338">
        <f>'FY 2016 by Agency'!L48*Inflator!$E$6</f>
        <v>303018.71755725192</v>
      </c>
      <c r="M48" s="338">
        <f t="shared" si="12"/>
        <v>25840.959282800439</v>
      </c>
      <c r="N48" s="339">
        <f t="shared" si="13"/>
        <v>9.3228834245833128E-2</v>
      </c>
      <c r="O48" s="338">
        <f>'FY 2016 by Agency'!O48*Inflator!$E$7</f>
        <v>358159.25237592391</v>
      </c>
      <c r="P48" s="340">
        <f>O48-L48</f>
        <v>55140.534818671993</v>
      </c>
      <c r="Q48" s="341">
        <f>P48/L48</f>
        <v>0.18197072201737446</v>
      </c>
      <c r="R48" s="338">
        <f>'FY 2016 by Agency'!R48*Inflator!$E$8</f>
        <v>408006.11710794299</v>
      </c>
      <c r="S48" s="340">
        <f t="shared" si="1"/>
        <v>49846.864732019079</v>
      </c>
      <c r="T48" s="341">
        <f>S48/O48</f>
        <v>0.13917514178776488</v>
      </c>
      <c r="U48" s="338">
        <f>'FY 2016 by Agency'!U48*Inflator!$E$9</f>
        <v>437542.29907161801</v>
      </c>
      <c r="V48" s="340">
        <f>U48-R48</f>
        <v>29536.181963675015</v>
      </c>
      <c r="W48" s="342">
        <f>V48/R48</f>
        <v>7.2391517492520485E-2</v>
      </c>
      <c r="X48" s="338">
        <f>'FY 2016 by Agency'!X48*Inflator!$E$10</f>
        <v>437152.93966338522</v>
      </c>
      <c r="Y48" s="340">
        <f>X48-U48</f>
        <v>-389.35940823279088</v>
      </c>
      <c r="Z48" s="342">
        <f>Y48/U48</f>
        <v>-8.8987832504180259E-4</v>
      </c>
      <c r="AA48" s="338">
        <f>'FY 2016 by Agency'!AA48*Inflator!$E$11</f>
        <v>465837.2532653712</v>
      </c>
      <c r="AB48" s="340">
        <f>AA48-X48</f>
        <v>28684.313601985981</v>
      </c>
      <c r="AC48" s="342">
        <f>AB48/X48</f>
        <v>6.5616197443561425E-2</v>
      </c>
      <c r="AD48" s="338">
        <f>'FY 2016 by Agency'!AD48*Inflator!E12</f>
        <v>351218.0018796993</v>
      </c>
      <c r="AE48" s="343">
        <f>SUM(AE7:AE44)</f>
        <v>0</v>
      </c>
      <c r="AF48" s="338">
        <f>'FY 2016 by Agency'!AF48*Inflator!$E$12</f>
        <v>394011.52819548879</v>
      </c>
      <c r="AG48" s="338">
        <f>AF48-AA48</f>
        <v>-71825.725069882406</v>
      </c>
      <c r="AH48" s="342">
        <f>AG48/AA48</f>
        <v>-0.15418630555286614</v>
      </c>
      <c r="AI48" s="340">
        <f>SUM(AI7:AI44)</f>
        <v>0</v>
      </c>
      <c r="AJ48" s="340">
        <f>SUM(AJ7:AJ39)</f>
        <v>0</v>
      </c>
      <c r="AK48" s="340">
        <f>SUM(AK7:AK39)</f>
        <v>321065</v>
      </c>
      <c r="AL48" s="340">
        <f>SUM(AL7:AL39)</f>
        <v>2050</v>
      </c>
      <c r="AM48" s="340">
        <f>SUM(AM7:AM39)</f>
        <v>323115</v>
      </c>
      <c r="AN48" s="340">
        <f t="shared" ref="AN48:AS48" si="48">SUM(AN7:AN44)</f>
        <v>413423</v>
      </c>
      <c r="AO48" s="340">
        <f t="shared" si="48"/>
        <v>477608</v>
      </c>
      <c r="AP48" s="340">
        <f t="shared" si="48"/>
        <v>34814</v>
      </c>
      <c r="AQ48" s="340">
        <f t="shared" si="48"/>
        <v>2383</v>
      </c>
      <c r="AR48" s="340">
        <f t="shared" si="48"/>
        <v>37197</v>
      </c>
      <c r="AS48" s="340">
        <f t="shared" si="48"/>
        <v>333613.97927000001</v>
      </c>
      <c r="AT48" s="338">
        <f t="shared" si="20"/>
        <v>-314021.0018796993</v>
      </c>
      <c r="AU48" s="342">
        <f t="shared" si="21"/>
        <v>-0.89409141957153759</v>
      </c>
      <c r="AV48" s="338">
        <f t="shared" si="22"/>
        <v>-60397.54892548878</v>
      </c>
      <c r="AW48" s="342">
        <f t="shared" si="23"/>
        <v>-0.15328878624973263</v>
      </c>
      <c r="AX48" s="335"/>
      <c r="AY48" s="344">
        <f>SUM(AY7:AY44)</f>
        <v>479299.27185999998</v>
      </c>
      <c r="AZ48" s="345">
        <f>SUM(AZ7:AZ39)</f>
        <v>1691.2718599999944</v>
      </c>
      <c r="BA48" s="345"/>
      <c r="BB48" s="346">
        <f>SUM(BB7:BB39)</f>
        <v>335305.25112999999</v>
      </c>
      <c r="BC48" s="342"/>
      <c r="BD48" s="347">
        <f>SUM(BD7:BD39)</f>
        <v>4234.2110000000002</v>
      </c>
      <c r="BE48" s="339">
        <f>BD48/AY48</f>
        <v>8.8341694815609571E-3</v>
      </c>
      <c r="BF48" s="339">
        <f>(BB48-X48)/X48</f>
        <v>-0.23297953483238518</v>
      </c>
      <c r="BG48" s="335"/>
      <c r="BH48" s="335"/>
      <c r="BI48" s="348">
        <f>SUM(BI7:BI44)</f>
        <v>464046</v>
      </c>
      <c r="BJ48" s="345">
        <f t="shared" si="28"/>
        <v>-15253.271859999979</v>
      </c>
      <c r="BK48" s="349">
        <f>SUM(BK7:BK44)</f>
        <v>382786.13199999998</v>
      </c>
      <c r="BL48" s="350">
        <f>SUM(BL7:BL44)</f>
        <v>483379.24678920658</v>
      </c>
      <c r="BM48" s="338">
        <f t="shared" si="30"/>
        <v>89367.718593717786</v>
      </c>
      <c r="BN48" s="351">
        <f t="shared" si="31"/>
        <v>0.22681498433055491</v>
      </c>
      <c r="BO48" s="338">
        <f>'FY 2016 by Agency'!AX48*Inflator!$E$13</f>
        <v>377168.24107415316</v>
      </c>
      <c r="BP48" s="338">
        <f t="shared" si="32"/>
        <v>-16843.287121335627</v>
      </c>
      <c r="BQ48" s="339">
        <f t="shared" si="33"/>
        <v>-4.2748208912757574E-2</v>
      </c>
      <c r="BR48" s="338">
        <f>'FY 2016 by Agency'!BE48*Inflator!$E$14</f>
        <v>497169.98241954704</v>
      </c>
      <c r="BS48" s="338">
        <f t="shared" si="34"/>
        <v>120001.74134539388</v>
      </c>
      <c r="BT48" s="339">
        <f t="shared" si="35"/>
        <v>0.31816502100928729</v>
      </c>
      <c r="BU48" s="340">
        <f>SUM(BU7:BU44)</f>
        <v>534729.86174016679</v>
      </c>
      <c r="BV48" s="338">
        <f t="shared" si="36"/>
        <v>51350.614950960211</v>
      </c>
      <c r="BW48" s="352">
        <f>SUM(BW7:BW44)</f>
        <v>541241</v>
      </c>
      <c r="BX48" s="340">
        <f>SUM(BX7:BX44)</f>
        <v>625538.01703430072</v>
      </c>
      <c r="BY48" s="338">
        <f>'FY 2016 by Agency'!BZ48*Inflator!$E$15</f>
        <v>546668.37027264724</v>
      </c>
      <c r="BZ48" s="352">
        <f t="shared" si="37"/>
        <v>44071.017580452957</v>
      </c>
      <c r="CA48" s="339">
        <f t="shared" si="38"/>
        <v>8.8643761970453663E-2</v>
      </c>
      <c r="CB48" s="674">
        <f>'FY 2016 by Agency'!CF48*Inflator!$E$16</f>
        <v>624806.81114640483</v>
      </c>
      <c r="CC48" s="352">
        <f t="shared" si="39"/>
        <v>78138.440873757587</v>
      </c>
      <c r="CD48" s="341">
        <f t="shared" si="40"/>
        <v>0.14293572689194833</v>
      </c>
      <c r="CE48" s="206">
        <f>'FY 2016 by Agency'!CK48*Inflator!$E$17</f>
        <v>691290.01870218199</v>
      </c>
      <c r="CF48" s="353">
        <f t="shared" si="47"/>
        <v>66483.20755577716</v>
      </c>
      <c r="CG48" s="604">
        <f t="shared" si="42"/>
        <v>0.10640602242122295</v>
      </c>
      <c r="CH48" s="753">
        <f>'FY 2016 by Agency'!CN48*Inflator!$E$18</f>
        <v>716366</v>
      </c>
      <c r="CI48" s="753">
        <f t="shared" si="43"/>
        <v>25075.981297818013</v>
      </c>
      <c r="CJ48" s="66">
        <f t="shared" si="44"/>
        <v>3.6274183945104982E-2</v>
      </c>
    </row>
    <row r="49" spans="1:88" s="144" customFormat="1" ht="18" customHeight="1" x14ac:dyDescent="0.25">
      <c r="A49" s="335"/>
      <c r="B49" s="302"/>
      <c r="C49" s="302"/>
      <c r="D49" s="302"/>
      <c r="E49" s="303"/>
      <c r="F49" s="204"/>
      <c r="G49" s="204"/>
      <c r="H49" s="199"/>
      <c r="I49" s="204"/>
      <c r="J49" s="204"/>
      <c r="K49" s="199"/>
      <c r="L49" s="204"/>
      <c r="M49" s="204"/>
      <c r="N49" s="199"/>
      <c r="O49" s="204"/>
      <c r="P49" s="354"/>
      <c r="Q49" s="355"/>
      <c r="R49" s="204"/>
      <c r="S49" s="354"/>
      <c r="T49" s="355"/>
      <c r="U49" s="204"/>
      <c r="V49" s="354"/>
      <c r="W49" s="356"/>
      <c r="X49" s="204"/>
      <c r="Y49" s="354"/>
      <c r="Z49" s="356"/>
      <c r="AA49" s="204"/>
      <c r="AB49" s="354"/>
      <c r="AC49" s="356"/>
      <c r="AD49" s="204"/>
      <c r="AE49" s="357"/>
      <c r="AF49" s="354"/>
      <c r="AG49" s="204"/>
      <c r="AH49" s="304"/>
      <c r="AI49" s="354"/>
      <c r="AJ49" s="354"/>
      <c r="AK49" s="354"/>
      <c r="AL49" s="354"/>
      <c r="AM49" s="354"/>
      <c r="AN49" s="354"/>
      <c r="AO49" s="354"/>
      <c r="AP49" s="354"/>
      <c r="AQ49" s="354"/>
      <c r="AR49" s="204">
        <f>'FY 2016 by Agency'!AR49</f>
        <v>0</v>
      </c>
      <c r="AS49" s="204">
        <f>'FY 2016 by Agency'!AS49</f>
        <v>0</v>
      </c>
      <c r="AT49" s="358"/>
      <c r="AU49" s="356"/>
      <c r="AV49" s="358"/>
      <c r="AW49" s="304"/>
      <c r="AX49" s="304"/>
      <c r="AY49" s="304"/>
      <c r="AZ49" s="304"/>
      <c r="BA49" s="304"/>
      <c r="BB49" s="304"/>
      <c r="BC49" s="304"/>
      <c r="BD49" s="359"/>
      <c r="BE49" s="207"/>
      <c r="BI49" s="360"/>
      <c r="BK49" s="230"/>
      <c r="BL49" s="361"/>
      <c r="BM49" s="354"/>
      <c r="BN49" s="362"/>
      <c r="BP49" s="204"/>
      <c r="BQ49" s="66"/>
      <c r="BR49" s="204"/>
      <c r="BS49" s="204"/>
      <c r="BT49" s="66"/>
      <c r="BU49" s="203"/>
      <c r="BV49" s="203"/>
      <c r="BW49" s="206"/>
      <c r="BX49" s="354"/>
      <c r="BY49" s="206"/>
      <c r="BZ49" s="206"/>
      <c r="CA49" s="199"/>
      <c r="CC49" s="206"/>
      <c r="CD49" s="355"/>
      <c r="CG49" s="604"/>
    </row>
    <row r="50" spans="1:88" s="144" customFormat="1" ht="18" customHeight="1" x14ac:dyDescent="0.25">
      <c r="A50" s="335"/>
      <c r="B50" s="302"/>
      <c r="C50" s="302"/>
      <c r="D50" s="302"/>
      <c r="E50" s="303"/>
      <c r="F50" s="204"/>
      <c r="G50" s="204"/>
      <c r="H50" s="199"/>
      <c r="I50" s="204"/>
      <c r="J50" s="204"/>
      <c r="K50" s="199"/>
      <c r="L50" s="204"/>
      <c r="M50" s="204"/>
      <c r="N50" s="199"/>
      <c r="O50" s="204"/>
      <c r="P50" s="354"/>
      <c r="Q50" s="355"/>
      <c r="R50" s="204"/>
      <c r="S50" s="354"/>
      <c r="T50" s="355"/>
      <c r="U50" s="204"/>
      <c r="V50" s="354"/>
      <c r="W50" s="356"/>
      <c r="X50" s="204"/>
      <c r="Y50" s="354"/>
      <c r="Z50" s="356"/>
      <c r="AA50" s="204"/>
      <c r="AB50" s="354"/>
      <c r="AC50" s="356"/>
      <c r="AD50" s="204"/>
      <c r="AE50" s="357"/>
      <c r="AF50" s="354"/>
      <c r="AG50" s="204"/>
      <c r="AH50" s="304"/>
      <c r="AI50" s="354"/>
      <c r="AJ50" s="354"/>
      <c r="AK50" s="354"/>
      <c r="AL50" s="354"/>
      <c r="AM50" s="354"/>
      <c r="AN50" s="354"/>
      <c r="AO50" s="354"/>
      <c r="AP50" s="354"/>
      <c r="AQ50" s="354"/>
      <c r="AR50" s="204">
        <f>'FY 2016 by Agency'!AR50</f>
        <v>0</v>
      </c>
      <c r="AS50" s="204">
        <f>'FY 2016 by Agency'!AS50</f>
        <v>0</v>
      </c>
      <c r="AT50" s="358">
        <f>AR50-AD48</f>
        <v>-351218.0018796993</v>
      </c>
      <c r="AU50" s="356">
        <f>AT50/AD48</f>
        <v>-1</v>
      </c>
      <c r="AV50" s="358">
        <f>AS50-AF48</f>
        <v>-394011.52819548879</v>
      </c>
      <c r="AW50" s="304">
        <f>AV50/AF48</f>
        <v>-1</v>
      </c>
      <c r="AX50" s="304"/>
      <c r="AY50" s="200">
        <f>+AS50+AZ48</f>
        <v>1691.2718599999944</v>
      </c>
      <c r="AZ50" s="200">
        <f>+AY50-AF48</f>
        <v>-392320.25633548881</v>
      </c>
      <c r="BA50" s="200"/>
      <c r="BB50" s="304">
        <f>+AZ50/AF48</f>
        <v>-0.99570755742161721</v>
      </c>
      <c r="BC50" s="304"/>
      <c r="BD50" s="359"/>
      <c r="BE50" s="207"/>
      <c r="BI50" s="360"/>
      <c r="BK50" s="230"/>
      <c r="BL50" s="361"/>
      <c r="BM50" s="354"/>
      <c r="BN50" s="362"/>
      <c r="BP50" s="204"/>
      <c r="BQ50" s="66"/>
      <c r="BR50" s="204"/>
      <c r="BS50" s="204"/>
      <c r="BT50" s="66"/>
      <c r="BU50" s="203"/>
      <c r="BV50" s="203"/>
      <c r="BW50" s="206"/>
      <c r="BX50" s="354"/>
      <c r="BY50" s="206"/>
      <c r="BZ50" s="206"/>
      <c r="CA50" s="199"/>
      <c r="CC50" s="206"/>
      <c r="CD50" s="355"/>
      <c r="CG50" s="604"/>
    </row>
    <row r="51" spans="1:88" s="65" customFormat="1" ht="18" customHeight="1" x14ac:dyDescent="0.25">
      <c r="A51" s="363"/>
      <c r="B51" s="302"/>
      <c r="C51" s="302"/>
      <c r="D51" s="302"/>
      <c r="E51" s="303"/>
      <c r="F51" s="204"/>
      <c r="G51" s="204"/>
      <c r="H51" s="199"/>
      <c r="I51" s="204"/>
      <c r="J51" s="204"/>
      <c r="K51" s="199"/>
      <c r="L51" s="204"/>
      <c r="M51" s="204"/>
      <c r="N51" s="199"/>
      <c r="O51" s="204"/>
      <c r="P51" s="358"/>
      <c r="Q51" s="356"/>
      <c r="R51" s="204"/>
      <c r="S51" s="358"/>
      <c r="T51" s="356"/>
      <c r="U51" s="204"/>
      <c r="V51" s="358"/>
      <c r="W51" s="358"/>
      <c r="X51" s="204"/>
      <c r="Y51" s="358"/>
      <c r="Z51" s="358"/>
      <c r="AA51" s="204"/>
      <c r="AB51" s="358"/>
      <c r="AC51" s="358"/>
      <c r="AD51" s="204"/>
      <c r="AE51" s="364"/>
      <c r="AF51" s="358"/>
      <c r="AG51" s="358"/>
      <c r="AH51" s="358"/>
      <c r="AI51" s="358"/>
      <c r="AJ51" s="365"/>
      <c r="AK51" s="365"/>
      <c r="AL51" s="365"/>
      <c r="AM51" s="365"/>
      <c r="AN51" s="366"/>
      <c r="AO51" s="367"/>
      <c r="AP51" s="358"/>
      <c r="AQ51" s="358"/>
      <c r="AR51" s="358"/>
      <c r="AS51" s="358"/>
      <c r="AT51" s="358"/>
      <c r="AU51" s="368"/>
      <c r="AV51" s="367"/>
      <c r="AW51" s="354"/>
      <c r="AY51" s="365">
        <f>+AY50-2892</f>
        <v>-1200.7281400000056</v>
      </c>
      <c r="AZ51" s="65" t="s">
        <v>402</v>
      </c>
      <c r="BD51" s="369"/>
      <c r="BE51" s="370"/>
      <c r="BI51" s="365"/>
      <c r="BK51" s="371"/>
      <c r="BL51" s="372"/>
      <c r="BM51" s="358"/>
      <c r="BN51" s="199"/>
      <c r="BP51" s="204"/>
      <c r="BQ51" s="66"/>
      <c r="BR51" s="204"/>
      <c r="BS51" s="204"/>
      <c r="BT51" s="66"/>
      <c r="BU51" s="204"/>
      <c r="BV51" s="204"/>
      <c r="BW51" s="206"/>
      <c r="BY51" s="206"/>
      <c r="BZ51" s="206"/>
      <c r="CA51" s="199"/>
      <c r="CC51" s="206"/>
      <c r="CD51" s="356"/>
      <c r="CG51" s="624"/>
    </row>
    <row r="52" spans="1:88" s="65" customFormat="1" ht="18" customHeight="1" x14ac:dyDescent="0.25">
      <c r="A52" s="373" t="s">
        <v>167</v>
      </c>
      <c r="B52" s="302"/>
      <c r="C52" s="302"/>
      <c r="D52" s="302"/>
      <c r="E52" s="303"/>
      <c r="F52" s="204"/>
      <c r="G52" s="204"/>
      <c r="H52" s="199"/>
      <c r="I52" s="204"/>
      <c r="J52" s="204"/>
      <c r="K52" s="199"/>
      <c r="L52" s="204"/>
      <c r="M52" s="204"/>
      <c r="N52" s="199"/>
      <c r="O52" s="204"/>
      <c r="P52" s="358"/>
      <c r="Q52" s="356"/>
      <c r="R52" s="204"/>
      <c r="S52" s="358"/>
      <c r="T52" s="356"/>
      <c r="U52" s="204"/>
      <c r="V52" s="358"/>
      <c r="W52" s="358"/>
      <c r="X52" s="204"/>
      <c r="Y52" s="358"/>
      <c r="Z52" s="358"/>
      <c r="AA52" s="204"/>
      <c r="AB52" s="358"/>
      <c r="AC52" s="358"/>
      <c r="AD52" s="204"/>
      <c r="AE52" s="364"/>
      <c r="AF52" s="358"/>
      <c r="AG52" s="358"/>
      <c r="AH52" s="358"/>
      <c r="AI52" s="358"/>
      <c r="AJ52" s="365"/>
      <c r="AK52" s="365"/>
      <c r="AL52" s="365"/>
      <c r="AM52" s="365"/>
      <c r="AN52" s="366"/>
      <c r="AO52" s="367"/>
      <c r="AP52" s="358"/>
      <c r="AQ52" s="358"/>
      <c r="AR52" s="358"/>
      <c r="AS52" s="358"/>
      <c r="AT52" s="358"/>
      <c r="AU52" s="368"/>
      <c r="AV52" s="367"/>
      <c r="AW52" s="354"/>
      <c r="AY52" s="365"/>
      <c r="BD52" s="369"/>
      <c r="BE52" s="370"/>
      <c r="BI52" s="365"/>
      <c r="BK52" s="371"/>
      <c r="BL52" s="372"/>
      <c r="BM52" s="358"/>
      <c r="BN52" s="199"/>
      <c r="BP52" s="204"/>
      <c r="BQ52" s="66"/>
      <c r="BR52" s="204"/>
      <c r="BS52" s="204"/>
      <c r="BT52" s="66"/>
      <c r="BU52" s="204"/>
      <c r="BV52" s="204"/>
      <c r="BW52" s="206"/>
      <c r="BY52" s="206"/>
      <c r="BZ52" s="206"/>
      <c r="CA52" s="199"/>
      <c r="CC52" s="206"/>
      <c r="CD52" s="356"/>
      <c r="CG52" s="624"/>
    </row>
    <row r="53" spans="1:88" s="65" customFormat="1" ht="18" customHeight="1" x14ac:dyDescent="0.25">
      <c r="A53" s="373" t="s">
        <v>169</v>
      </c>
      <c r="B53" s="302"/>
      <c r="C53" s="302"/>
      <c r="D53" s="302"/>
      <c r="E53" s="303"/>
      <c r="F53" s="204"/>
      <c r="G53" s="204"/>
      <c r="H53" s="199"/>
      <c r="I53" s="204"/>
      <c r="J53" s="204"/>
      <c r="K53" s="199"/>
      <c r="L53" s="204"/>
      <c r="M53" s="204"/>
      <c r="N53" s="199"/>
      <c r="O53" s="204"/>
      <c r="P53" s="358"/>
      <c r="Q53" s="356"/>
      <c r="R53" s="204"/>
      <c r="S53" s="358"/>
      <c r="T53" s="356"/>
      <c r="U53" s="204"/>
      <c r="V53" s="358"/>
      <c r="W53" s="358"/>
      <c r="X53" s="204"/>
      <c r="Y53" s="358"/>
      <c r="Z53" s="358"/>
      <c r="AA53" s="204"/>
      <c r="AB53" s="358"/>
      <c r="AC53" s="358"/>
      <c r="AD53" s="204"/>
      <c r="AE53" s="364"/>
      <c r="AF53" s="358"/>
      <c r="AG53" s="358"/>
      <c r="AH53" s="358"/>
      <c r="AI53" s="358"/>
      <c r="AJ53" s="365"/>
      <c r="AK53" s="365"/>
      <c r="AL53" s="365"/>
      <c r="AM53" s="365"/>
      <c r="AN53" s="366"/>
      <c r="AO53" s="367"/>
      <c r="AP53" s="358"/>
      <c r="AQ53" s="358"/>
      <c r="AR53" s="358"/>
      <c r="AS53" s="358"/>
      <c r="AT53" s="358"/>
      <c r="AU53" s="368"/>
      <c r="AV53" s="367"/>
      <c r="AW53" s="354"/>
      <c r="BD53" s="369"/>
      <c r="BE53" s="370"/>
      <c r="BI53" s="365"/>
      <c r="BK53" s="371"/>
      <c r="BL53" s="372"/>
      <c r="BM53" s="358"/>
      <c r="BN53" s="199"/>
      <c r="BP53" s="204"/>
      <c r="BQ53" s="66"/>
      <c r="BR53" s="204"/>
      <c r="BS53" s="204"/>
      <c r="BT53" s="66"/>
      <c r="BU53" s="204"/>
      <c r="BV53" s="204"/>
      <c r="BW53" s="206"/>
      <c r="BY53" s="206"/>
      <c r="BZ53" s="206"/>
      <c r="CA53" s="199"/>
      <c r="CC53" s="206"/>
      <c r="CD53" s="356"/>
      <c r="CG53" s="624"/>
    </row>
    <row r="54" spans="1:88" s="65" customFormat="1" ht="18" customHeight="1" x14ac:dyDescent="0.25">
      <c r="A54" s="373" t="s">
        <v>403</v>
      </c>
      <c r="B54" s="302"/>
      <c r="C54" s="302"/>
      <c r="D54" s="302"/>
      <c r="E54" s="303"/>
      <c r="F54" s="204"/>
      <c r="G54" s="204"/>
      <c r="H54" s="199"/>
      <c r="I54" s="204"/>
      <c r="J54" s="204"/>
      <c r="K54" s="199"/>
      <c r="L54" s="204"/>
      <c r="M54" s="204"/>
      <c r="N54" s="199"/>
      <c r="O54" s="204"/>
      <c r="P54" s="358"/>
      <c r="Q54" s="356"/>
      <c r="R54" s="204"/>
      <c r="S54" s="358"/>
      <c r="T54" s="356"/>
      <c r="U54" s="204"/>
      <c r="V54" s="358"/>
      <c r="W54" s="358"/>
      <c r="X54" s="204"/>
      <c r="Y54" s="358"/>
      <c r="Z54" s="358"/>
      <c r="AA54" s="204"/>
      <c r="AB54" s="358"/>
      <c r="AC54" s="358"/>
      <c r="AD54" s="204"/>
      <c r="AE54" s="364"/>
      <c r="AF54" s="358"/>
      <c r="AG54" s="358"/>
      <c r="AH54" s="358"/>
      <c r="AI54" s="358"/>
      <c r="AJ54" s="365"/>
      <c r="AK54" s="365"/>
      <c r="AL54" s="365"/>
      <c r="AM54" s="365"/>
      <c r="AN54" s="366"/>
      <c r="AO54" s="367"/>
      <c r="AP54" s="358"/>
      <c r="AQ54" s="358"/>
      <c r="AR54" s="358"/>
      <c r="AS54" s="358"/>
      <c r="AT54" s="358"/>
      <c r="AU54" s="368"/>
      <c r="AV54" s="367"/>
      <c r="AW54" s="354"/>
      <c r="BD54" s="369"/>
      <c r="BE54" s="370"/>
      <c r="BI54" s="365"/>
      <c r="BK54" s="371"/>
      <c r="BL54" s="372"/>
      <c r="BM54" s="358"/>
      <c r="BN54" s="199"/>
      <c r="BP54" s="204"/>
      <c r="BQ54" s="66"/>
      <c r="BR54" s="204"/>
      <c r="BS54" s="204"/>
      <c r="BT54" s="66"/>
      <c r="BU54" s="204"/>
      <c r="BV54" s="204"/>
      <c r="BW54" s="206"/>
      <c r="BY54" s="206"/>
      <c r="BZ54" s="206"/>
      <c r="CA54" s="199"/>
      <c r="CC54" s="206"/>
      <c r="CD54" s="356"/>
      <c r="CG54" s="624"/>
    </row>
    <row r="55" spans="1:88" ht="18" customHeight="1" x14ac:dyDescent="0.25">
      <c r="A55" s="373" t="s">
        <v>171</v>
      </c>
      <c r="B55" s="302"/>
      <c r="C55" s="302"/>
      <c r="D55" s="302"/>
      <c r="E55" s="303"/>
      <c r="F55" s="204"/>
      <c r="G55" s="204"/>
      <c r="I55" s="204"/>
      <c r="J55" s="204"/>
      <c r="L55" s="204"/>
      <c r="M55" s="204"/>
      <c r="O55" s="204"/>
      <c r="Q55" s="304"/>
      <c r="R55" s="204"/>
      <c r="S55" s="204"/>
      <c r="T55" s="304"/>
      <c r="U55" s="204"/>
      <c r="V55" s="204"/>
      <c r="W55" s="304"/>
      <c r="X55" s="204"/>
      <c r="AA55" s="204"/>
      <c r="AD55" s="204"/>
      <c r="AI55" s="202"/>
      <c r="AM55" s="307"/>
      <c r="AN55" s="374"/>
      <c r="BD55" s="359"/>
      <c r="BI55" s="200"/>
      <c r="BL55" s="372"/>
      <c r="BM55" s="358"/>
      <c r="BN55" s="199"/>
      <c r="BP55" s="204"/>
      <c r="BR55" s="204"/>
      <c r="BS55" s="204"/>
      <c r="BW55" s="206"/>
      <c r="BY55" s="206"/>
      <c r="BZ55" s="206"/>
      <c r="CA55" s="199"/>
      <c r="CC55" s="206"/>
      <c r="CD55" s="304"/>
      <c r="CG55" s="562"/>
    </row>
    <row r="56" spans="1:88" ht="18" customHeight="1" x14ac:dyDescent="0.25">
      <c r="A56" s="373" t="s">
        <v>404</v>
      </c>
      <c r="B56" s="302"/>
      <c r="C56" s="302"/>
      <c r="D56" s="302"/>
      <c r="E56" s="303"/>
      <c r="F56" s="204"/>
      <c r="G56" s="204"/>
      <c r="I56" s="204"/>
      <c r="J56" s="204"/>
      <c r="L56" s="204"/>
      <c r="M56" s="204"/>
      <c r="O56" s="204"/>
      <c r="Q56" s="304"/>
      <c r="R56" s="204"/>
      <c r="S56" s="204"/>
      <c r="T56" s="304"/>
      <c r="U56" s="204"/>
      <c r="V56" s="204"/>
      <c r="W56" s="304"/>
      <c r="X56" s="204"/>
      <c r="AA56" s="204"/>
      <c r="AD56" s="204"/>
      <c r="AI56" s="202"/>
      <c r="AM56" s="307"/>
      <c r="AN56" s="374"/>
      <c r="BD56" s="359"/>
      <c r="BI56" s="200"/>
      <c r="BL56" s="372"/>
      <c r="BM56" s="358"/>
      <c r="BN56" s="199"/>
      <c r="BP56" s="204"/>
      <c r="BR56" s="204"/>
      <c r="BS56" s="204"/>
      <c r="BW56" s="206"/>
      <c r="BY56" s="206"/>
      <c r="BZ56" s="206"/>
      <c r="CA56" s="199"/>
      <c r="CC56" s="206"/>
      <c r="CD56" s="304"/>
      <c r="CG56" s="562"/>
    </row>
    <row r="57" spans="1:88" s="378" customFormat="1" ht="18" customHeight="1" x14ac:dyDescent="0.25">
      <c r="A57" s="283" t="s">
        <v>60</v>
      </c>
      <c r="B57" s="375"/>
      <c r="C57" s="375"/>
      <c r="D57" s="375"/>
      <c r="E57" s="376"/>
      <c r="F57" s="287"/>
      <c r="G57" s="287"/>
      <c r="H57" s="288"/>
      <c r="I57" s="287"/>
      <c r="J57" s="287"/>
      <c r="K57" s="288"/>
      <c r="L57" s="287"/>
      <c r="M57" s="287"/>
      <c r="N57" s="288"/>
      <c r="O57" s="287"/>
      <c r="P57" s="285"/>
      <c r="Q57" s="377"/>
      <c r="R57" s="287"/>
      <c r="T57" s="379"/>
      <c r="U57" s="287"/>
      <c r="W57" s="379"/>
      <c r="X57" s="287"/>
      <c r="AA57" s="287"/>
      <c r="AC57" s="380"/>
      <c r="AD57" s="287"/>
      <c r="AE57" s="381"/>
      <c r="AF57" s="382"/>
      <c r="AG57" s="382"/>
      <c r="AH57" s="382"/>
      <c r="AI57" s="382"/>
      <c r="AM57" s="383"/>
      <c r="AN57" s="384"/>
      <c r="AO57" s="385"/>
      <c r="AP57" s="386"/>
      <c r="AQ57" s="386"/>
      <c r="AR57" s="386"/>
      <c r="AS57" s="287"/>
      <c r="AT57" s="287"/>
      <c r="AU57" s="387"/>
      <c r="AV57" s="385"/>
      <c r="AW57" s="386"/>
      <c r="BD57" s="388"/>
      <c r="BE57" s="389"/>
      <c r="BI57" s="380"/>
      <c r="BK57" s="390"/>
      <c r="BL57" s="391"/>
      <c r="BM57" s="392"/>
      <c r="BN57" s="393"/>
      <c r="BP57" s="287"/>
      <c r="BQ57" s="289"/>
      <c r="BR57" s="287"/>
      <c r="BS57" s="287"/>
      <c r="BT57" s="289"/>
      <c r="BU57" s="386"/>
      <c r="BV57" s="386"/>
      <c r="BW57" s="296"/>
      <c r="BY57" s="296"/>
      <c r="BZ57" s="296"/>
      <c r="CA57" s="288"/>
      <c r="CC57" s="296"/>
      <c r="CD57" s="379"/>
      <c r="CG57" s="676"/>
    </row>
    <row r="58" spans="1:88" ht="18" customHeight="1" x14ac:dyDescent="0.25">
      <c r="A58" s="312" t="s">
        <v>174</v>
      </c>
      <c r="B58" s="302">
        <f>'FY 2016 by Agency'!B59*Inflator!$E$2</f>
        <v>21758.787081339713</v>
      </c>
      <c r="C58" s="302">
        <f>'FY 2016 by Agency'!C59*Inflator!$E$3</f>
        <v>29314.052550231841</v>
      </c>
      <c r="D58" s="302">
        <f t="shared" si="6"/>
        <v>7555.2654688921284</v>
      </c>
      <c r="E58" s="303">
        <f t="shared" si="7"/>
        <v>0.34722824579553457</v>
      </c>
      <c r="F58" s="204">
        <f>'FY 2016 by Agency'!F59*Inflator!$E$4</f>
        <v>27623.914350970688</v>
      </c>
      <c r="G58" s="204">
        <f t="shared" si="8"/>
        <v>-1690.1381992611532</v>
      </c>
      <c r="H58" s="199">
        <f t="shared" si="9"/>
        <v>-5.765624511878642E-2</v>
      </c>
      <c r="I58" s="204">
        <f>'FY 2016 by Agency'!I59*Inflator!$E$5</f>
        <v>29499.311268129419</v>
      </c>
      <c r="J58" s="204">
        <f t="shared" si="10"/>
        <v>1875.3969171587305</v>
      </c>
      <c r="K58" s="199">
        <f t="shared" si="11"/>
        <v>6.7890339266593838E-2</v>
      </c>
      <c r="L58" s="204">
        <f>'FY 2016 by Agency'!L59*Inflator!$E$6</f>
        <v>41512.427480916034</v>
      </c>
      <c r="M58" s="204">
        <f t="shared" si="12"/>
        <v>12013.116212786616</v>
      </c>
      <c r="N58" s="199">
        <f t="shared" si="13"/>
        <v>0.4072337860228416</v>
      </c>
      <c r="O58" s="204">
        <f>'FY 2016 by Agency'!O59*Inflator!$E$7</f>
        <v>38500.483632523756</v>
      </c>
      <c r="P58" s="204">
        <f>O58-L58</f>
        <v>-3011.9438483922786</v>
      </c>
      <c r="Q58" s="304">
        <f t="shared" ref="Q58:Q81" si="49">P58/L58</f>
        <v>-7.2555233002862096E-2</v>
      </c>
      <c r="R58" s="204">
        <f>'FY 2016 by Agency'!R59*Inflator!$E$8</f>
        <v>52941.841140529534</v>
      </c>
      <c r="S58" s="204">
        <f t="shared" ref="S58:S81" si="50">R58-O58</f>
        <v>14441.357508005778</v>
      </c>
      <c r="T58" s="304">
        <f t="shared" ref="T58:T81" si="51">S58/O58</f>
        <v>0.37509548310728918</v>
      </c>
      <c r="U58" s="204">
        <f>'FY 2016 by Agency'!U59*Inflator!$E$9</f>
        <v>54979.199602122011</v>
      </c>
      <c r="V58" s="204">
        <f>U58-R58</f>
        <v>2037.3584615924774</v>
      </c>
      <c r="W58" s="304">
        <f>V58/R58</f>
        <v>3.8482954459110812E-2</v>
      </c>
      <c r="X58" s="204">
        <f>'FY 2016 by Agency'!X59*Inflator!$E$10</f>
        <v>73196.163543982228</v>
      </c>
      <c r="Y58" s="206">
        <f t="shared" ref="Y58:Y78" si="52">X58-U58</f>
        <v>18216.963941860216</v>
      </c>
      <c r="Z58" s="304">
        <f t="shared" ref="Z58:Z65" si="53">Y58/U58</f>
        <v>0.33134283644895229</v>
      </c>
      <c r="AA58" s="204">
        <f>'FY 2016 by Agency'!AA59*Inflator!$E$11</f>
        <v>63043.891366677293</v>
      </c>
      <c r="AB58" s="206">
        <f t="shared" ref="AB58:AB78" si="54">AA58-X58</f>
        <v>-10152.272177304934</v>
      </c>
      <c r="AC58" s="304">
        <f t="shared" ref="AC58:AC65" si="55">AB58/X58</f>
        <v>-0.13869951218419557</v>
      </c>
      <c r="AD58" s="204" t="e">
        <f>'FY 2016 by Agency'!AD59*Inflator!#REF!</f>
        <v>#REF!</v>
      </c>
      <c r="AE58" s="204">
        <f>'FY 2016 by Agency'!AE59*Inflator!$B$8</f>
        <v>0</v>
      </c>
      <c r="AF58" s="204">
        <f>'FY 2016 by Agency'!AF59*Inflator!$E$12</f>
        <v>31236.158834586469</v>
      </c>
      <c r="AG58" s="204">
        <f t="shared" ref="AG58:AG80" si="56">AF58-AA58</f>
        <v>-31807.732532090824</v>
      </c>
      <c r="AH58" s="304">
        <f t="shared" ref="AH58:AH80" si="57">AG58/AA58</f>
        <v>-0.50453314099997382</v>
      </c>
      <c r="AI58" s="204">
        <f>'FY 2016 by Agency'!AI59*Inflator!$B$8</f>
        <v>0</v>
      </c>
      <c r="AJ58" s="204">
        <f>'FY 2016 by Agency'!AJ59*Inflator!$B$8</f>
        <v>0</v>
      </c>
      <c r="AK58" s="204">
        <f>'FY 2016 by Agency'!AK59</f>
        <v>3040</v>
      </c>
      <c r="AL58" s="204">
        <f>'FY 2016 by Agency'!AL59</f>
        <v>680</v>
      </c>
      <c r="AM58" s="204">
        <f>'FY 2016 by Agency'!AM59</f>
        <v>3720</v>
      </c>
      <c r="AN58" s="204">
        <f>'FY 2016 by Agency'!AN59</f>
        <v>2403</v>
      </c>
      <c r="AO58" s="204">
        <f>'FY 2016 by Agency'!AO59</f>
        <v>17074</v>
      </c>
      <c r="AP58" s="204">
        <f>'FY 2016 by Agency'!AP59</f>
        <v>611</v>
      </c>
      <c r="AQ58" s="204">
        <f>'FY 2016 by Agency'!AQ59</f>
        <v>601</v>
      </c>
      <c r="AR58" s="204">
        <f>'FY 2016 by Agency'!AR59</f>
        <v>1212</v>
      </c>
      <c r="AS58" s="204">
        <f>'FY 2016 by Agency'!AS59</f>
        <v>16868.30013</v>
      </c>
      <c r="AT58" s="204" t="e">
        <f t="shared" ref="AT58:AT81" si="58">AR58-AD58</f>
        <v>#REF!</v>
      </c>
      <c r="AU58" s="304" t="e">
        <f t="shared" ref="AU58:AU81" si="59">AT58/AD58</f>
        <v>#REF!</v>
      </c>
      <c r="AV58" s="204">
        <f t="shared" ref="AV58:AV81" si="60">AS58-AF58</f>
        <v>-14367.85870458647</v>
      </c>
      <c r="AW58" s="304">
        <f t="shared" ref="AW58:AW81" si="61">AV58/AF58</f>
        <v>-0.4599752095215226</v>
      </c>
      <c r="AX58" s="206">
        <f>2295+6793+7878</f>
        <v>16966</v>
      </c>
      <c r="AY58" s="206">
        <f>2295+6793+7878</f>
        <v>16966</v>
      </c>
      <c r="AZ58" s="206">
        <f t="shared" ref="AZ58:AZ80" si="62">+AY58-AO58</f>
        <v>-108</v>
      </c>
      <c r="BA58" s="206">
        <f t="shared" ref="BA58:BA80" si="63">+AZ58+AV58</f>
        <v>-14475.85870458647</v>
      </c>
      <c r="BB58" s="206">
        <f t="shared" ref="BB58:BB80" si="64">+AZ58+AS58</f>
        <v>16760.30013</v>
      </c>
      <c r="BC58" s="304">
        <f t="shared" ref="BC58:BC81" si="65">+BB58/AF58-1</f>
        <v>-0.46343274092197173</v>
      </c>
      <c r="BD58" s="306">
        <v>82.584999999999994</v>
      </c>
      <c r="BE58" s="199">
        <f t="shared" ref="BE58:BE71" si="66">BD58/AY58</f>
        <v>4.8676765295296472E-3</v>
      </c>
      <c r="BG58" s="66">
        <v>1126</v>
      </c>
      <c r="BH58" s="66">
        <v>199</v>
      </c>
      <c r="BI58" s="200">
        <v>15457</v>
      </c>
      <c r="BJ58" s="206">
        <f>BI58-AY58</f>
        <v>-1509</v>
      </c>
      <c r="BK58" s="200">
        <f>BI58+AP58+AQ58</f>
        <v>16669</v>
      </c>
      <c r="BL58" s="307">
        <f>'FY 2016 by Agency'!BB59*Inflator!$E$13</f>
        <v>17213.80816856576</v>
      </c>
      <c r="BM58" s="204">
        <f>BL58-AF58</f>
        <v>-14022.350666020709</v>
      </c>
      <c r="BN58" s="199">
        <f>BM58/AF58</f>
        <v>-0.44891405310996041</v>
      </c>
      <c r="BO58" s="204">
        <f>'FY 2016 by Agency'!AX59*Inflator!$E$13</f>
        <v>16994.681415929204</v>
      </c>
      <c r="BP58" s="204">
        <f t="shared" si="32"/>
        <v>-14241.477418657265</v>
      </c>
      <c r="BQ58" s="199">
        <f t="shared" si="33"/>
        <v>-0.45592921633143585</v>
      </c>
      <c r="BR58" s="204">
        <f>'FY 2016 by Agency'!BE59*Inflator!$E$14</f>
        <v>16951.062872467221</v>
      </c>
      <c r="BS58" s="204">
        <f t="shared" si="34"/>
        <v>-43.618543461983791</v>
      </c>
      <c r="BT58" s="199">
        <f t="shared" si="35"/>
        <v>-2.5665996551779958E-3</v>
      </c>
      <c r="BU58" s="204">
        <f>'FY 2016 by Agency'!BL59*Inflator!$E$14</f>
        <v>17323.601907032178</v>
      </c>
      <c r="BV58" s="204">
        <f>BU58-BL58</f>
        <v>109.79373846641829</v>
      </c>
      <c r="BW58" s="309">
        <v>19527</v>
      </c>
      <c r="BX58" s="206">
        <f>'FY 2016 by Agency'!BW59*Inflator!E15</f>
        <v>24965.378188214596</v>
      </c>
      <c r="BY58" s="204">
        <f>'FY 2016 by Agency'!BZ59*Inflator!$E$15</f>
        <v>20662.058927000879</v>
      </c>
      <c r="BZ58" s="206">
        <f t="shared" si="37"/>
        <v>2575.9371275327794</v>
      </c>
      <c r="CA58" s="199">
        <f t="shared" si="38"/>
        <v>0.15196316283604538</v>
      </c>
      <c r="CB58" s="308">
        <f>'FY 2016 by Agency'!CF59*Inflator!$E$16</f>
        <v>36924.767542593123</v>
      </c>
      <c r="CC58" s="206">
        <f t="shared" ref="CC58:CC81" si="67">CB58-BY58</f>
        <v>16262.708615592244</v>
      </c>
      <c r="CD58" s="304">
        <f t="shared" ref="CD58:CD81" si="68">CC58/BY58</f>
        <v>0.78708073929362254</v>
      </c>
      <c r="CE58" s="206">
        <f>'FY 2016 by Agency'!CK59*Inflator!$E$17</f>
        <v>41999.606404080478</v>
      </c>
      <c r="CF58" s="206">
        <f>CE58-CB58</f>
        <v>5074.8388614873547</v>
      </c>
      <c r="CG58" s="562">
        <f>CF58/CB58</f>
        <v>0.13743725957471425</v>
      </c>
      <c r="CH58" s="206">
        <f>'FY 2016 by Agency'!CN59*Inflator!$E$18</f>
        <v>33328</v>
      </c>
      <c r="CI58" s="753">
        <f>CH58-CE58</f>
        <v>-8671.6064040804777</v>
      </c>
      <c r="CJ58" s="66">
        <f>CI58/CE58</f>
        <v>-0.2064687540318946</v>
      </c>
    </row>
    <row r="59" spans="1:88" ht="18" customHeight="1" x14ac:dyDescent="0.25">
      <c r="A59" s="312" t="s">
        <v>175</v>
      </c>
      <c r="B59" s="302">
        <f>'FY 2016 by Agency'!B60*Inflator!$E$2</f>
        <v>0</v>
      </c>
      <c r="C59" s="302">
        <f>'FY 2016 by Agency'!C60*Inflator!$E$3</f>
        <v>0</v>
      </c>
      <c r="D59" s="302">
        <f t="shared" si="6"/>
        <v>0</v>
      </c>
      <c r="E59" s="310" t="s">
        <v>132</v>
      </c>
      <c r="F59" s="204">
        <f>'FY 2016 by Agency'!F60*Inflator!$E$4</f>
        <v>7470.7046060144658</v>
      </c>
      <c r="G59" s="204">
        <f t="shared" si="8"/>
        <v>7470.7046060144658</v>
      </c>
      <c r="H59" s="310" t="s">
        <v>132</v>
      </c>
      <c r="I59" s="204">
        <f>'FY 2016 by Agency'!I60*Inflator!$E$5</f>
        <v>8194.8486426180734</v>
      </c>
      <c r="J59" s="204">
        <f t="shared" si="10"/>
        <v>724.14403660360767</v>
      </c>
      <c r="K59" s="310" t="s">
        <v>132</v>
      </c>
      <c r="L59" s="204">
        <f>'FY 2016 by Agency'!L60*Inflator!$E$6</f>
        <v>7997.0621592148309</v>
      </c>
      <c r="M59" s="204">
        <f t="shared" si="12"/>
        <v>-197.78648340324253</v>
      </c>
      <c r="N59" s="199">
        <f t="shared" si="13"/>
        <v>-2.4135465098725009E-2</v>
      </c>
      <c r="O59" s="204">
        <f>'FY 2016 by Agency'!O60*Inflator!$E$7</f>
        <v>7540.808870116155</v>
      </c>
      <c r="P59" s="204">
        <f t="shared" ref="P59:P81" si="69">O59-L59</f>
        <v>-456.25328909867585</v>
      </c>
      <c r="Q59" s="304">
        <f t="shared" si="49"/>
        <v>-5.705261257384947E-2</v>
      </c>
      <c r="R59" s="204">
        <f>'FY 2016 by Agency'!R60*Inflator!$E$8</f>
        <v>7237.7983706720979</v>
      </c>
      <c r="S59" s="204">
        <f t="shared" si="50"/>
        <v>-303.01049944405713</v>
      </c>
      <c r="T59" s="304">
        <f t="shared" si="51"/>
        <v>-4.0182758197846974E-2</v>
      </c>
      <c r="U59" s="204">
        <f>'FY 2016 by Agency'!U60*Inflator!$E$9</f>
        <v>7840.3478116710867</v>
      </c>
      <c r="V59" s="204">
        <f t="shared" ref="V59:V78" si="70">U59-R59</f>
        <v>602.54944099898876</v>
      </c>
      <c r="W59" s="304">
        <f t="shared" ref="W59:W77" si="71">V59/R59</f>
        <v>8.3250376722367347E-2</v>
      </c>
      <c r="X59" s="204">
        <f>'FY 2016 by Agency'!X60*Inflator!$E$10</f>
        <v>9201.4372816767227</v>
      </c>
      <c r="Y59" s="206">
        <f t="shared" si="52"/>
        <v>1361.089470005636</v>
      </c>
      <c r="Z59" s="304">
        <f t="shared" si="53"/>
        <v>0.17360064919307888</v>
      </c>
      <c r="AA59" s="204">
        <f>'FY 2016 by Agency'!AA60*Inflator!$E$11</f>
        <v>10815.886906658174</v>
      </c>
      <c r="AB59" s="206">
        <f t="shared" si="54"/>
        <v>1614.4496249814511</v>
      </c>
      <c r="AC59" s="304">
        <f t="shared" si="55"/>
        <v>0.17545624401487628</v>
      </c>
      <c r="AD59" s="204" t="e">
        <f>'FY 2016 by Agency'!AD60*Inflator!#REF!</f>
        <v>#REF!</v>
      </c>
      <c r="AE59" s="204">
        <f>'FY 2016 by Agency'!AE60*Inflator!$B$8</f>
        <v>0</v>
      </c>
      <c r="AF59" s="204">
        <f>'FY 2016 by Agency'!AF60*Inflator!$E$12</f>
        <v>8182.376879699249</v>
      </c>
      <c r="AG59" s="204">
        <f t="shared" si="56"/>
        <v>-2633.5100269589248</v>
      </c>
      <c r="AH59" s="304">
        <f t="shared" si="57"/>
        <v>-0.24348535165782448</v>
      </c>
      <c r="AI59" s="204">
        <f>'FY 2016 by Agency'!AI60*Inflator!$B$8</f>
        <v>0</v>
      </c>
      <c r="AJ59" s="204">
        <f>'FY 2016 by Agency'!AJ60*Inflator!$B$8</f>
        <v>0</v>
      </c>
      <c r="AK59" s="204">
        <f>'FY 2016 by Agency'!AK60</f>
        <v>8369</v>
      </c>
      <c r="AL59" s="204">
        <f>'FY 2016 by Agency'!AL60</f>
        <v>0</v>
      </c>
      <c r="AM59" s="204">
        <f>'FY 2016 by Agency'!AM60</f>
        <v>8369</v>
      </c>
      <c r="AN59" s="204">
        <f>'FY 2016 by Agency'!AN60</f>
        <v>6112</v>
      </c>
      <c r="AO59" s="204">
        <f>'FY 2016 by Agency'!AO60</f>
        <v>6130</v>
      </c>
      <c r="AP59" s="204">
        <f>'FY 2016 by Agency'!AP60</f>
        <v>977</v>
      </c>
      <c r="AQ59" s="204">
        <f>'FY 2016 by Agency'!AQ60</f>
        <v>95</v>
      </c>
      <c r="AR59" s="204">
        <f>'FY 2016 by Agency'!AR60</f>
        <v>1072</v>
      </c>
      <c r="AS59" s="204">
        <f>'FY 2016 by Agency'!AS60</f>
        <v>6571.4900099999995</v>
      </c>
      <c r="AT59" s="204" t="e">
        <f t="shared" si="58"/>
        <v>#REF!</v>
      </c>
      <c r="AU59" s="304" t="e">
        <f t="shared" si="59"/>
        <v>#REF!</v>
      </c>
      <c r="AV59" s="204">
        <f t="shared" si="60"/>
        <v>-1610.8868696992495</v>
      </c>
      <c r="AW59" s="304">
        <f t="shared" si="61"/>
        <v>-0.19687272945052356</v>
      </c>
      <c r="AX59" s="206">
        <f>6112+18</f>
        <v>6130</v>
      </c>
      <c r="AY59" s="206">
        <f>6112+18</f>
        <v>6130</v>
      </c>
      <c r="AZ59" s="206">
        <f t="shared" si="62"/>
        <v>0</v>
      </c>
      <c r="BA59" s="206">
        <f t="shared" si="63"/>
        <v>-1610.8868696992495</v>
      </c>
      <c r="BB59" s="206">
        <f t="shared" si="64"/>
        <v>6571.4900099999995</v>
      </c>
      <c r="BC59" s="304">
        <f t="shared" si="65"/>
        <v>-0.19687272945052359</v>
      </c>
      <c r="BD59" s="306">
        <v>73.468999999999994</v>
      </c>
      <c r="BE59" s="199">
        <f t="shared" si="66"/>
        <v>1.1985154975530179E-2</v>
      </c>
      <c r="BF59" s="66">
        <v>75</v>
      </c>
      <c r="BI59" s="200">
        <v>5974</v>
      </c>
      <c r="BJ59" s="206">
        <f t="shared" ref="BJ59:BJ81" si="72">BI59-AY59</f>
        <v>-156</v>
      </c>
      <c r="BK59" s="200">
        <f t="shared" ref="BK59:BK80" si="73">BI59+AP59+AQ59</f>
        <v>7046</v>
      </c>
      <c r="BL59" s="307">
        <f>'FY 2016 by Agency'!BB60*Inflator!$E$13</f>
        <v>6046.5860561580703</v>
      </c>
      <c r="BM59" s="204">
        <f t="shared" ref="BM59:BM81" si="74">BL59-AF59</f>
        <v>-2135.7908235411787</v>
      </c>
      <c r="BN59" s="199">
        <f t="shared" ref="BN59:BN81" si="75">BM59/AF59</f>
        <v>-0.26102327660317715</v>
      </c>
      <c r="BO59" s="204">
        <f>'FY 2016 by Agency'!AX60*Inflator!$E$13</f>
        <v>6568.3008849557518</v>
      </c>
      <c r="BP59" s="204">
        <f t="shared" si="32"/>
        <v>-1614.0759947434972</v>
      </c>
      <c r="BQ59" s="199">
        <f t="shared" si="33"/>
        <v>-0.1972624847858174</v>
      </c>
      <c r="BR59" s="204">
        <f>'FY 2016 by Agency'!BE60*Inflator!$E$14</f>
        <v>6645.5810488676989</v>
      </c>
      <c r="BS59" s="204">
        <f t="shared" si="34"/>
        <v>77.280163911947056</v>
      </c>
      <c r="BT59" s="199">
        <f t="shared" si="35"/>
        <v>1.1765624819190612E-2</v>
      </c>
      <c r="BU59" s="204">
        <f>'FY 2016 by Agency'!BL60*Inflator!$E$14</f>
        <v>8007.9788438617397</v>
      </c>
      <c r="BV59" s="204">
        <f t="shared" ref="BV59:BV81" si="76">BU59-BL59</f>
        <v>1961.3927877036695</v>
      </c>
      <c r="BW59" s="309">
        <v>6389</v>
      </c>
      <c r="BX59" s="206">
        <f>'FY 2016 by Agency'!BW60*Inflator!E15</f>
        <v>8162.9973614775718</v>
      </c>
      <c r="BY59" s="204">
        <f>'FY 2016 by Agency'!BZ60*Inflator!$E$15</f>
        <v>6763.4151275285831</v>
      </c>
      <c r="BZ59" s="206">
        <f t="shared" si="37"/>
        <v>-256.58104886769888</v>
      </c>
      <c r="CA59" s="199">
        <f t="shared" si="38"/>
        <v>-3.8609272384303582E-2</v>
      </c>
      <c r="CB59" s="308">
        <f>'FY 2016 by Agency'!CF60*Inflator!$E$16</f>
        <v>10501.033496967946</v>
      </c>
      <c r="CC59" s="206">
        <f t="shared" si="67"/>
        <v>3737.6183694393631</v>
      </c>
      <c r="CD59" s="304">
        <f t="shared" si="68"/>
        <v>0.55262294254664868</v>
      </c>
      <c r="CE59" s="206">
        <f>'FY 2016 by Agency'!CK60*Inflator!$E$17</f>
        <v>9636.9274582034577</v>
      </c>
      <c r="CF59" s="206">
        <f t="shared" ref="CF59:CF80" si="77">CE59-CB59</f>
        <v>-864.1060387644884</v>
      </c>
      <c r="CG59" s="562">
        <f t="shared" ref="CG59:CG80" si="78">CF59/CB59</f>
        <v>-8.2287713777314322E-2</v>
      </c>
      <c r="CH59" s="206">
        <f>'FY 2016 by Agency'!CN60*Inflator!$E$18</f>
        <v>8952</v>
      </c>
      <c r="CI59" s="753">
        <f t="shared" ref="CI59:CI82" si="79">CH59-CE59</f>
        <v>-684.92745820345772</v>
      </c>
      <c r="CJ59" s="66">
        <f t="shared" ref="CJ59:CJ82" si="80">CI59/CE59</f>
        <v>-7.1073219257286366E-2</v>
      </c>
    </row>
    <row r="60" spans="1:88" ht="18" customHeight="1" x14ac:dyDescent="0.25">
      <c r="A60" s="312" t="s">
        <v>176</v>
      </c>
      <c r="B60" s="302">
        <f>'FY 2016 by Agency'!B61*Inflator!$E$2</f>
        <v>0</v>
      </c>
      <c r="C60" s="302">
        <f>'FY 2016 by Agency'!C61*Inflator!$E$3</f>
        <v>0</v>
      </c>
      <c r="D60" s="302">
        <f t="shared" si="6"/>
        <v>0</v>
      </c>
      <c r="E60" s="310" t="s">
        <v>132</v>
      </c>
      <c r="F60" s="204">
        <f>'FY 2016 by Agency'!F61*Inflator!$E$4</f>
        <v>1667.7761705367338</v>
      </c>
      <c r="G60" s="204">
        <f t="shared" si="8"/>
        <v>1667.7761705367338</v>
      </c>
      <c r="H60" s="310" t="s">
        <v>132</v>
      </c>
      <c r="I60" s="204">
        <f>'FY 2016 by Agency'!I61*Inflator!$E$5</f>
        <v>1284.9672740795836</v>
      </c>
      <c r="J60" s="204">
        <f t="shared" si="10"/>
        <v>-382.80889645715024</v>
      </c>
      <c r="K60" s="310" t="s">
        <v>132</v>
      </c>
      <c r="L60" s="204">
        <f>'FY 2016 by Agency'!L61*Inflator!$E$6</f>
        <v>1312.3249727371865</v>
      </c>
      <c r="M60" s="204">
        <f t="shared" si="12"/>
        <v>27.357698657602896</v>
      </c>
      <c r="N60" s="199">
        <f t="shared" si="13"/>
        <v>2.1290580086717848E-2</v>
      </c>
      <c r="O60" s="204">
        <f>'FY 2016 by Agency'!O61*Inflator!$E$7</f>
        <v>1245.3875395987327</v>
      </c>
      <c r="P60" s="204">
        <f t="shared" si="69"/>
        <v>-66.937433138453798</v>
      </c>
      <c r="Q60" s="304">
        <f t="shared" si="49"/>
        <v>-5.1006751017500497E-2</v>
      </c>
      <c r="R60" s="204">
        <f>'FY 2016 by Agency'!R61*Inflator!$E$8</f>
        <v>2076.6782077393077</v>
      </c>
      <c r="S60" s="204">
        <f t="shared" si="50"/>
        <v>831.29066814057501</v>
      </c>
      <c r="T60" s="304">
        <f t="shared" si="51"/>
        <v>0.66749557202765908</v>
      </c>
      <c r="U60" s="204">
        <f>'FY 2016 by Agency'!U61*Inflator!$E$9</f>
        <v>2446.5994694960209</v>
      </c>
      <c r="V60" s="204">
        <f t="shared" si="70"/>
        <v>369.92126175671319</v>
      </c>
      <c r="W60" s="304">
        <f t="shared" si="71"/>
        <v>0.17813123881114595</v>
      </c>
      <c r="X60" s="204">
        <f>'FY 2016 by Agency'!X61*Inflator!$E$10</f>
        <v>5140.7681803747228</v>
      </c>
      <c r="Y60" s="206">
        <f t="shared" si="52"/>
        <v>2694.1687108787019</v>
      </c>
      <c r="Z60" s="304">
        <f t="shared" si="53"/>
        <v>1.1011891175770092</v>
      </c>
      <c r="AA60" s="204">
        <f>'FY 2016 by Agency'!AA61*Inflator!$E$11</f>
        <v>3701.7123287671238</v>
      </c>
      <c r="AB60" s="206">
        <f t="shared" si="54"/>
        <v>-1439.0558516075989</v>
      </c>
      <c r="AC60" s="304">
        <f t="shared" si="55"/>
        <v>-0.27993011960766973</v>
      </c>
      <c r="AD60" s="204" t="e">
        <f>'FY 2016 by Agency'!AD61*Inflator!#REF!</f>
        <v>#REF!</v>
      </c>
      <c r="AE60" s="204">
        <f>'FY 2016 by Agency'!AE61*Inflator!$B$8</f>
        <v>0</v>
      </c>
      <c r="AF60" s="204">
        <f>'FY 2016 by Agency'!AF61*Inflator!$E$12</f>
        <v>2640.168233082707</v>
      </c>
      <c r="AG60" s="204">
        <f t="shared" si="56"/>
        <v>-1061.5440956844168</v>
      </c>
      <c r="AH60" s="304">
        <f t="shared" si="57"/>
        <v>-0.2867710944026734</v>
      </c>
      <c r="AI60" s="204">
        <f>'FY 2016 by Agency'!AI61*Inflator!$B$8</f>
        <v>0</v>
      </c>
      <c r="AJ60" s="204">
        <f>'FY 2016 by Agency'!AJ61*Inflator!$B$8</f>
        <v>0</v>
      </c>
      <c r="AK60" s="204">
        <f>'FY 2016 by Agency'!AK61</f>
        <v>2453</v>
      </c>
      <c r="AL60" s="204">
        <f>'FY 2016 by Agency'!AL61</f>
        <v>0</v>
      </c>
      <c r="AM60" s="204">
        <f>'FY 2016 by Agency'!AM61</f>
        <v>2453</v>
      </c>
      <c r="AN60" s="204">
        <f>'FY 2016 by Agency'!AN61</f>
        <v>2114</v>
      </c>
      <c r="AO60" s="204">
        <f>'FY 2016 by Agency'!AO61</f>
        <v>2114</v>
      </c>
      <c r="AP60" s="204">
        <f>'FY 2016 by Agency'!AP61</f>
        <v>88</v>
      </c>
      <c r="AQ60" s="204">
        <f>'FY 2016 by Agency'!AQ61</f>
        <v>28</v>
      </c>
      <c r="AR60" s="204">
        <f>'FY 2016 by Agency'!AR61</f>
        <v>116</v>
      </c>
      <c r="AS60" s="204">
        <f>'FY 2016 by Agency'!AS61</f>
        <v>7651.7482600000003</v>
      </c>
      <c r="AT60" s="204" t="e">
        <f t="shared" si="58"/>
        <v>#REF!</v>
      </c>
      <c r="AU60" s="304" t="e">
        <f t="shared" si="59"/>
        <v>#REF!</v>
      </c>
      <c r="AV60" s="204">
        <f t="shared" si="60"/>
        <v>5011.5800269172933</v>
      </c>
      <c r="AW60" s="304">
        <f t="shared" si="61"/>
        <v>1.8982048053300316</v>
      </c>
      <c r="AX60" s="206">
        <v>4599</v>
      </c>
      <c r="AY60" s="206">
        <v>4599</v>
      </c>
      <c r="AZ60" s="206">
        <f t="shared" si="62"/>
        <v>2485</v>
      </c>
      <c r="BA60" s="206">
        <f t="shared" si="63"/>
        <v>7496.5800269172933</v>
      </c>
      <c r="BB60" s="206">
        <f t="shared" si="64"/>
        <v>10136.74826</v>
      </c>
      <c r="BC60" s="304">
        <f t="shared" si="65"/>
        <v>2.8394327046970615</v>
      </c>
      <c r="BD60" s="306">
        <v>273.30599999999998</v>
      </c>
      <c r="BE60" s="199">
        <f t="shared" si="66"/>
        <v>5.9427266797129806E-2</v>
      </c>
      <c r="BF60" s="66">
        <v>1810</v>
      </c>
      <c r="BI60" s="200">
        <v>4653</v>
      </c>
      <c r="BJ60" s="206">
        <f t="shared" si="72"/>
        <v>54</v>
      </c>
      <c r="BK60" s="200">
        <f t="shared" si="73"/>
        <v>4769</v>
      </c>
      <c r="BL60" s="307">
        <f>'FY 2016 by Agency'!BB61*Inflator!$E$13</f>
        <v>8285.4137872383271</v>
      </c>
      <c r="BM60" s="204">
        <f t="shared" si="74"/>
        <v>5645.2455541556201</v>
      </c>
      <c r="BN60" s="199">
        <f t="shared" si="75"/>
        <v>2.138214331729964</v>
      </c>
      <c r="BO60" s="204">
        <f>'FY 2016 by Agency'!AX61*Inflator!$E$13</f>
        <v>8439.617943240768</v>
      </c>
      <c r="BP60" s="204">
        <f t="shared" si="32"/>
        <v>5799.449710158061</v>
      </c>
      <c r="BQ60" s="199">
        <f t="shared" si="33"/>
        <v>2.1966212749202429</v>
      </c>
      <c r="BR60" s="204">
        <f>'FY 2016 by Agency'!BE61*Inflator!$E$14</f>
        <v>5144.6889153754464</v>
      </c>
      <c r="BS60" s="204">
        <f t="shared" si="34"/>
        <v>-3294.9290278653216</v>
      </c>
      <c r="BT60" s="199">
        <f t="shared" si="35"/>
        <v>-0.39041210751775884</v>
      </c>
      <c r="BU60" s="204">
        <f>'FY 2016 by Agency'!BL61*Inflator!$E$14</f>
        <v>5261.7112634088198</v>
      </c>
      <c r="BV60" s="204">
        <f t="shared" si="76"/>
        <v>-3023.7025238295073</v>
      </c>
      <c r="BW60" s="309">
        <v>5276</v>
      </c>
      <c r="BX60" s="206">
        <f>'FY 2016 by Agency'!BW61*Inflator!E15</f>
        <v>5664.8751099384335</v>
      </c>
      <c r="BY60" s="204">
        <f>'FY 2016 by Agency'!BZ61*Inflator!$E$15</f>
        <v>4274.7994722955145</v>
      </c>
      <c r="BZ60" s="206">
        <f t="shared" si="37"/>
        <v>131.31108462455359</v>
      </c>
      <c r="CA60" s="199">
        <f t="shared" si="38"/>
        <v>2.5523619947576719E-2</v>
      </c>
      <c r="CB60" s="308">
        <f>'FY 2016 by Agency'!CF61*Inflator!$E$16</f>
        <v>8046.6653190874958</v>
      </c>
      <c r="CC60" s="206">
        <f t="shared" si="67"/>
        <v>3771.8658467919813</v>
      </c>
      <c r="CD60" s="304">
        <f t="shared" si="68"/>
        <v>0.88234918883026248</v>
      </c>
      <c r="CE60" s="206">
        <f>'FY 2016 by Agency'!CK61*Inflator!$E$17</f>
        <v>9173.4074808727692</v>
      </c>
      <c r="CF60" s="206">
        <f t="shared" si="77"/>
        <v>1126.7421617852733</v>
      </c>
      <c r="CG60" s="562">
        <f t="shared" si="78"/>
        <v>0.140025975619059</v>
      </c>
      <c r="CH60" s="206">
        <f>'FY 2016 by Agency'!CN61*Inflator!$E$18</f>
        <v>8732</v>
      </c>
      <c r="CI60" s="753">
        <f t="shared" si="79"/>
        <v>-441.40748087276916</v>
      </c>
      <c r="CJ60" s="66">
        <f t="shared" si="80"/>
        <v>-4.8118159123873683E-2</v>
      </c>
    </row>
    <row r="61" spans="1:88" ht="18" customHeight="1" x14ac:dyDescent="0.25">
      <c r="A61" s="312" t="s">
        <v>177</v>
      </c>
      <c r="B61" s="302">
        <f>'FY 2016 by Agency'!B62*Inflator!$E$2</f>
        <v>0</v>
      </c>
      <c r="C61" s="302">
        <f>'FY 2016 by Agency'!C62*Inflator!$E$3</f>
        <v>0</v>
      </c>
      <c r="D61" s="302">
        <f t="shared" si="6"/>
        <v>0</v>
      </c>
      <c r="E61" s="310" t="s">
        <v>132</v>
      </c>
      <c r="F61" s="204">
        <f>'FY 2016 by Agency'!F62*Inflator!$E$4</f>
        <v>585.64179672630382</v>
      </c>
      <c r="G61" s="204">
        <f t="shared" si="8"/>
        <v>585.64179672630382</v>
      </c>
      <c r="H61" s="310" t="s">
        <v>132</v>
      </c>
      <c r="I61" s="204">
        <f>'FY 2016 by Agency'!I62*Inflator!$E$5</f>
        <v>593.57716623280032</v>
      </c>
      <c r="J61" s="204">
        <f t="shared" si="10"/>
        <v>7.9353695064964995</v>
      </c>
      <c r="K61" s="310" t="s">
        <v>132</v>
      </c>
      <c r="L61" s="204">
        <f>'FY 2016 by Agency'!L62*Inflator!$E$6</f>
        <v>674.4983642311887</v>
      </c>
      <c r="M61" s="204">
        <f t="shared" si="12"/>
        <v>80.921197998388379</v>
      </c>
      <c r="N61" s="199">
        <f t="shared" si="13"/>
        <v>0.1363280169821276</v>
      </c>
      <c r="O61" s="204">
        <f>'FY 2016 by Agency'!O62*Inflator!$E$7</f>
        <v>654.39915522703268</v>
      </c>
      <c r="P61" s="204">
        <f t="shared" si="69"/>
        <v>-20.099209004156023</v>
      </c>
      <c r="Q61" s="304">
        <f t="shared" si="49"/>
        <v>-2.9798751294327658E-2</v>
      </c>
      <c r="R61" s="204">
        <f>'FY 2016 by Agency'!R62*Inflator!$E$8</f>
        <v>655.53564154786159</v>
      </c>
      <c r="S61" s="204">
        <f t="shared" si="50"/>
        <v>1.136486320828908</v>
      </c>
      <c r="T61" s="304">
        <f t="shared" si="51"/>
        <v>1.736686717504431E-3</v>
      </c>
      <c r="U61" s="204">
        <f>'FY 2016 by Agency'!U62*Inflator!$E$9</f>
        <v>648.68335543766568</v>
      </c>
      <c r="V61" s="204">
        <f t="shared" si="70"/>
        <v>-6.8522861101959052</v>
      </c>
      <c r="W61" s="304">
        <f t="shared" si="71"/>
        <v>-1.0452957361732726E-2</v>
      </c>
      <c r="X61" s="204">
        <f>'FY 2016 by Agency'!X62*Inflator!$E$10</f>
        <v>962.2492854874564</v>
      </c>
      <c r="Y61" s="206">
        <f t="shared" si="52"/>
        <v>313.56593004979072</v>
      </c>
      <c r="Z61" s="304">
        <f t="shared" si="53"/>
        <v>0.4833882778420116</v>
      </c>
      <c r="AA61" s="204">
        <f>'FY 2016 by Agency'!AA62*Inflator!$E$11</f>
        <v>748.37719018795804</v>
      </c>
      <c r="AB61" s="206">
        <f t="shared" si="54"/>
        <v>-213.87209529949837</v>
      </c>
      <c r="AC61" s="304">
        <f t="shared" si="55"/>
        <v>-0.22226266989759833</v>
      </c>
      <c r="AD61" s="204" t="e">
        <f>'FY 2016 by Agency'!AD62*Inflator!#REF!</f>
        <v>#REF!</v>
      </c>
      <c r="AE61" s="204">
        <f>'FY 2016 by Agency'!AE62*Inflator!$B$8</f>
        <v>0</v>
      </c>
      <c r="AF61" s="204">
        <f>'FY 2016 by Agency'!AF62*Inflator!$E$12</f>
        <v>606.14379699248127</v>
      </c>
      <c r="AG61" s="204">
        <f t="shared" si="56"/>
        <v>-142.23339319547676</v>
      </c>
      <c r="AH61" s="304">
        <f t="shared" si="57"/>
        <v>-0.19005575672309608</v>
      </c>
      <c r="AI61" s="204">
        <f>'FY 2016 by Agency'!AI62*Inflator!$B$8</f>
        <v>0</v>
      </c>
      <c r="AJ61" s="204">
        <f>'FY 2016 by Agency'!AJ62*Inflator!$B$8</f>
        <v>0</v>
      </c>
      <c r="AK61" s="204">
        <f>'FY 2016 by Agency'!AK62</f>
        <v>595</v>
      </c>
      <c r="AL61" s="204">
        <f>'FY 2016 by Agency'!AL62</f>
        <v>0</v>
      </c>
      <c r="AM61" s="204">
        <f>'FY 2016 by Agency'!AM62</f>
        <v>595</v>
      </c>
      <c r="AN61" s="204">
        <f>'FY 2016 by Agency'!AN62</f>
        <v>555</v>
      </c>
      <c r="AO61" s="204">
        <f>'FY 2016 by Agency'!AO62</f>
        <v>602</v>
      </c>
      <c r="AP61" s="204">
        <f>'FY 2016 by Agency'!AP62</f>
        <v>0</v>
      </c>
      <c r="AQ61" s="204">
        <f>'FY 2016 by Agency'!AQ62</f>
        <v>2</v>
      </c>
      <c r="AR61" s="204">
        <f>'FY 2016 by Agency'!AR62</f>
        <v>2</v>
      </c>
      <c r="AS61" s="204">
        <f>'FY 2016 by Agency'!AS62</f>
        <v>646.78075000000001</v>
      </c>
      <c r="AT61" s="204" t="e">
        <f t="shared" si="58"/>
        <v>#REF!</v>
      </c>
      <c r="AU61" s="304" t="e">
        <f t="shared" si="59"/>
        <v>#REF!</v>
      </c>
      <c r="AV61" s="204">
        <f t="shared" si="60"/>
        <v>40.636953007518741</v>
      </c>
      <c r="AW61" s="304">
        <f t="shared" si="61"/>
        <v>6.7041769971330434E-2</v>
      </c>
      <c r="AX61" s="206">
        <f>555+46</f>
        <v>601</v>
      </c>
      <c r="AY61" s="206">
        <f>555+46</f>
        <v>601</v>
      </c>
      <c r="AZ61" s="206">
        <f t="shared" si="62"/>
        <v>-1</v>
      </c>
      <c r="BA61" s="206">
        <f t="shared" si="63"/>
        <v>39.636953007518741</v>
      </c>
      <c r="BB61" s="206">
        <f t="shared" si="64"/>
        <v>645.78075000000001</v>
      </c>
      <c r="BC61" s="304">
        <f t="shared" si="65"/>
        <v>6.5391996427557997E-2</v>
      </c>
      <c r="BD61" s="306">
        <v>12.016999999999999</v>
      </c>
      <c r="BE61" s="199">
        <f t="shared" si="66"/>
        <v>1.9995008319467555E-2</v>
      </c>
      <c r="BI61" s="200">
        <v>593</v>
      </c>
      <c r="BJ61" s="206">
        <f t="shared" si="72"/>
        <v>-8</v>
      </c>
      <c r="BK61" s="200">
        <f t="shared" si="73"/>
        <v>595</v>
      </c>
      <c r="BL61" s="307">
        <f>'FY 2016 by Agency'!BB62*Inflator!$E$13</f>
        <v>708.92433391821783</v>
      </c>
      <c r="BM61" s="204">
        <f t="shared" si="74"/>
        <v>102.78053692573656</v>
      </c>
      <c r="BN61" s="199">
        <f t="shared" si="75"/>
        <v>0.1695646106348119</v>
      </c>
      <c r="BO61" s="204">
        <f>'FY 2016 by Agency'!AX62*Inflator!$E$13</f>
        <v>655.2908147696063</v>
      </c>
      <c r="BP61" s="204">
        <f t="shared" si="32"/>
        <v>49.147017777125029</v>
      </c>
      <c r="BQ61" s="199">
        <f t="shared" si="33"/>
        <v>8.1081449684017232E-2</v>
      </c>
      <c r="BR61" s="204">
        <f>'FY 2016 by Agency'!BE62*Inflator!$E$14</f>
        <v>772.99165673420737</v>
      </c>
      <c r="BS61" s="204">
        <f t="shared" si="34"/>
        <v>117.70084196460107</v>
      </c>
      <c r="BT61" s="199">
        <f t="shared" si="35"/>
        <v>0.17961619377494786</v>
      </c>
      <c r="BU61" s="204">
        <f>'FY 2016 by Agency'!BL62*Inflator!$E$14</f>
        <v>798.75804529201423</v>
      </c>
      <c r="BV61" s="204">
        <f t="shared" si="76"/>
        <v>89.833711373796405</v>
      </c>
      <c r="BW61" s="309">
        <v>869</v>
      </c>
      <c r="BX61" s="206">
        <f>'FY 2016 by Agency'!BW62*Inflator!E15</f>
        <v>1073.1890941072998</v>
      </c>
      <c r="BY61" s="204">
        <f>'FY 2016 by Agency'!BZ62*Inflator!$E$15</f>
        <v>915.80211081794187</v>
      </c>
      <c r="BZ61" s="206">
        <f t="shared" si="37"/>
        <v>96.008343265792632</v>
      </c>
      <c r="CA61" s="199">
        <f t="shared" si="38"/>
        <v>0.12420359576895799</v>
      </c>
      <c r="CB61" s="308">
        <f>'FY 2016 by Agency'!CF62*Inflator!$E$16</f>
        <v>918.69737222061792</v>
      </c>
      <c r="CC61" s="206">
        <f t="shared" si="67"/>
        <v>2.8952614026760557</v>
      </c>
      <c r="CD61" s="304">
        <f t="shared" si="68"/>
        <v>3.1614487108903629E-3</v>
      </c>
      <c r="CE61" s="206">
        <f>'FY 2016 by Agency'!CK62*Inflator!$E$17</f>
        <v>3777.5857183338062</v>
      </c>
      <c r="CF61" s="206">
        <f t="shared" si="77"/>
        <v>2858.8883461131882</v>
      </c>
      <c r="CG61" s="562">
        <f t="shared" si="78"/>
        <v>3.1118934619382461</v>
      </c>
      <c r="CH61" s="206">
        <f>'FY 2016 by Agency'!CN62*Inflator!$E$18</f>
        <v>12323</v>
      </c>
      <c r="CI61" s="753">
        <f t="shared" si="79"/>
        <v>8545.4142816661933</v>
      </c>
      <c r="CJ61" s="66">
        <f t="shared" si="80"/>
        <v>2.2621364328525022</v>
      </c>
    </row>
    <row r="62" spans="1:88" ht="18" customHeight="1" x14ac:dyDescent="0.25">
      <c r="A62" s="312" t="s">
        <v>178</v>
      </c>
      <c r="B62" s="302">
        <f>'FY 2016 by Agency'!B63*Inflator!$E$2</f>
        <v>1755.5287081339713</v>
      </c>
      <c r="C62" s="302">
        <f>'FY 2016 by Agency'!C63*Inflator!$E$3</f>
        <v>2524.0490726429675</v>
      </c>
      <c r="D62" s="302">
        <f t="shared" si="6"/>
        <v>768.52036450899618</v>
      </c>
      <c r="E62" s="303">
        <f t="shared" si="7"/>
        <v>0.43777145936046258</v>
      </c>
      <c r="F62" s="204">
        <f>'FY 2016 by Agency'!F63*Inflator!$E$4</f>
        <v>2594.9280548153788</v>
      </c>
      <c r="G62" s="204">
        <f t="shared" si="8"/>
        <v>70.87898217241127</v>
      </c>
      <c r="H62" s="199">
        <f t="shared" si="9"/>
        <v>2.8081459643806719E-2</v>
      </c>
      <c r="I62" s="204">
        <f>'FY 2016 by Agency'!I63*Inflator!$E$5</f>
        <v>3084.4574191149127</v>
      </c>
      <c r="J62" s="204">
        <f t="shared" si="10"/>
        <v>489.52936429953388</v>
      </c>
      <c r="K62" s="199">
        <f t="shared" si="11"/>
        <v>0.18864853050207683</v>
      </c>
      <c r="L62" s="204">
        <f>'FY 2016 by Agency'!L63*Inflator!$E$6</f>
        <v>3227.1145038167938</v>
      </c>
      <c r="M62" s="204">
        <f t="shared" si="12"/>
        <v>142.6570847018811</v>
      </c>
      <c r="N62" s="199">
        <f t="shared" si="13"/>
        <v>4.6250301209480357E-2</v>
      </c>
      <c r="O62" s="204">
        <f>'FY 2016 by Agency'!O63*Inflator!$E$7</f>
        <v>3116.0052798310448</v>
      </c>
      <c r="P62" s="204">
        <f t="shared" si="69"/>
        <v>-111.10922398574894</v>
      </c>
      <c r="Q62" s="304">
        <f t="shared" si="49"/>
        <v>-3.442989824325636E-2</v>
      </c>
      <c r="R62" s="204">
        <f>'FY 2016 by Agency'!R63*Inflator!$E$8</f>
        <v>3182.2830957230144</v>
      </c>
      <c r="S62" s="204">
        <f t="shared" si="50"/>
        <v>66.277815891969567</v>
      </c>
      <c r="T62" s="304">
        <f t="shared" si="51"/>
        <v>2.1270123103117228E-2</v>
      </c>
      <c r="U62" s="204">
        <f>'FY 2016 by Agency'!U63*Inflator!$E$9</f>
        <v>3649.5905172413786</v>
      </c>
      <c r="V62" s="204">
        <f t="shared" si="70"/>
        <v>467.30742151836421</v>
      </c>
      <c r="W62" s="304">
        <f t="shared" si="71"/>
        <v>0.14684659015611307</v>
      </c>
      <c r="X62" s="204">
        <f>'FY 2016 by Agency'!X63*Inflator!$E$10</f>
        <v>3540.0704985709754</v>
      </c>
      <c r="Y62" s="206">
        <f t="shared" si="52"/>
        <v>-109.52001867040326</v>
      </c>
      <c r="Z62" s="304">
        <f t="shared" si="53"/>
        <v>-3.00088511719354E-2</v>
      </c>
      <c r="AA62" s="204">
        <f>'FY 2016 by Agency'!AA63*Inflator!$E$11</f>
        <v>3600.7043644472769</v>
      </c>
      <c r="AB62" s="206">
        <f t="shared" si="54"/>
        <v>60.63386587630157</v>
      </c>
      <c r="AC62" s="304">
        <f t="shared" si="55"/>
        <v>1.7127869600556744E-2</v>
      </c>
      <c r="AD62" s="204" t="e">
        <f>'FY 2016 by Agency'!AD63*Inflator!#REF!</f>
        <v>#REF!</v>
      </c>
      <c r="AE62" s="204">
        <f>'FY 2016 by Agency'!AE63*Inflator!$B$8</f>
        <v>0</v>
      </c>
      <c r="AF62" s="204">
        <f>'FY 2016 by Agency'!AF63*Inflator!$E$12</f>
        <v>3370.4755639097748</v>
      </c>
      <c r="AG62" s="204">
        <f t="shared" si="56"/>
        <v>-230.22880053750214</v>
      </c>
      <c r="AH62" s="304">
        <f t="shared" si="57"/>
        <v>-6.3939934311392208E-2</v>
      </c>
      <c r="AI62" s="204">
        <f>'FY 2016 by Agency'!AI63*Inflator!$B$8</f>
        <v>0</v>
      </c>
      <c r="AJ62" s="204">
        <f>'FY 2016 by Agency'!AJ63*Inflator!$B$8</f>
        <v>0</v>
      </c>
      <c r="AK62" s="204">
        <f>'FY 2016 by Agency'!AK63</f>
        <v>3224</v>
      </c>
      <c r="AL62" s="204">
        <f>'FY 2016 by Agency'!AL63</f>
        <v>0</v>
      </c>
      <c r="AM62" s="204">
        <f>'FY 2016 by Agency'!AM63</f>
        <v>3224</v>
      </c>
      <c r="AN62" s="204">
        <f>'FY 2016 by Agency'!AN63</f>
        <v>2657</v>
      </c>
      <c r="AO62" s="204">
        <f>'FY 2016 by Agency'!AO63</f>
        <v>2657</v>
      </c>
      <c r="AP62" s="204">
        <f>'FY 2016 by Agency'!AP63</f>
        <v>180</v>
      </c>
      <c r="AQ62" s="204">
        <f>'FY 2016 by Agency'!AQ63</f>
        <v>15</v>
      </c>
      <c r="AR62" s="204">
        <f>'FY 2016 by Agency'!AR63</f>
        <v>195</v>
      </c>
      <c r="AS62" s="204">
        <f>'FY 2016 by Agency'!AS63</f>
        <v>2661.2408</v>
      </c>
      <c r="AT62" s="204" t="e">
        <f t="shared" si="58"/>
        <v>#REF!</v>
      </c>
      <c r="AU62" s="304" t="e">
        <f t="shared" si="59"/>
        <v>#REF!</v>
      </c>
      <c r="AV62" s="204">
        <f t="shared" si="60"/>
        <v>-709.23476390977476</v>
      </c>
      <c r="AW62" s="304">
        <f t="shared" si="61"/>
        <v>-0.21042572493451267</v>
      </c>
      <c r="AX62" s="206">
        <v>2660</v>
      </c>
      <c r="AY62" s="206">
        <v>2660</v>
      </c>
      <c r="AZ62" s="206">
        <f t="shared" si="62"/>
        <v>3</v>
      </c>
      <c r="BA62" s="206">
        <f t="shared" si="63"/>
        <v>-706.23476390977476</v>
      </c>
      <c r="BB62" s="206">
        <f t="shared" si="64"/>
        <v>2664.2408</v>
      </c>
      <c r="BC62" s="304">
        <f t="shared" si="65"/>
        <v>-0.20953564282499582</v>
      </c>
      <c r="BD62" s="306">
        <v>0</v>
      </c>
      <c r="BE62" s="199">
        <f t="shared" si="66"/>
        <v>0</v>
      </c>
      <c r="BF62" s="66">
        <v>76</v>
      </c>
      <c r="BI62" s="200">
        <v>2553</v>
      </c>
      <c r="BJ62" s="206">
        <f t="shared" si="72"/>
        <v>-107</v>
      </c>
      <c r="BK62" s="200">
        <f t="shared" si="73"/>
        <v>2748</v>
      </c>
      <c r="BL62" s="307">
        <f>'FY 2016 by Agency'!BB63*Inflator!$E$13</f>
        <v>2711.5854752517548</v>
      </c>
      <c r="BM62" s="204">
        <f t="shared" si="74"/>
        <v>-658.89008865801998</v>
      </c>
      <c r="BN62" s="199">
        <f t="shared" si="75"/>
        <v>-0.19548876001750415</v>
      </c>
      <c r="BO62" s="204">
        <f>'FY 2016 by Agency'!AX63*Inflator!$E$13</f>
        <v>2806.9755874275252</v>
      </c>
      <c r="BP62" s="204">
        <f t="shared" si="32"/>
        <v>-563.49997648224962</v>
      </c>
      <c r="BQ62" s="199">
        <f t="shared" si="33"/>
        <v>-0.16718708259334947</v>
      </c>
      <c r="BR62" s="204">
        <f>'FY 2016 by Agency'!BE63*Inflator!$E$14</f>
        <v>2706.5443980929676</v>
      </c>
      <c r="BS62" s="204">
        <f t="shared" si="34"/>
        <v>-100.43118933455753</v>
      </c>
      <c r="BT62" s="199">
        <f t="shared" si="35"/>
        <v>-3.5779145990577882E-2</v>
      </c>
      <c r="BU62" s="204">
        <f>'FY 2016 by Agency'!BL63*Inflator!$E$14</f>
        <v>2867.584326579261</v>
      </c>
      <c r="BV62" s="204">
        <f t="shared" si="76"/>
        <v>155.99885132750615</v>
      </c>
      <c r="BW62" s="309">
        <v>2596</v>
      </c>
      <c r="BX62" s="206">
        <f>'FY 2016 by Agency'!BW63*Inflator!E15</f>
        <v>2926.9753737906772</v>
      </c>
      <c r="BY62" s="204">
        <f>'FY 2016 by Agency'!BZ63*Inflator!$E$15</f>
        <v>2709.3799472295514</v>
      </c>
      <c r="BZ62" s="206">
        <f t="shared" si="37"/>
        <v>-110.54439809296764</v>
      </c>
      <c r="CA62" s="199">
        <f t="shared" si="38"/>
        <v>-4.0843371411478514E-2</v>
      </c>
      <c r="CB62" s="308">
        <f>'FY 2016 by Agency'!CF63*Inflator!$E$16</f>
        <v>2773.7793820386946</v>
      </c>
      <c r="CC62" s="206">
        <f t="shared" si="67"/>
        <v>64.399434809143258</v>
      </c>
      <c r="CD62" s="304">
        <f t="shared" si="68"/>
        <v>2.376906748534632E-2</v>
      </c>
      <c r="CE62" s="206">
        <f>'FY 2016 by Agency'!CK63*Inflator!$E$17</f>
        <v>2761.7214508359311</v>
      </c>
      <c r="CF62" s="206">
        <f t="shared" si="77"/>
        <v>-12.057931202763484</v>
      </c>
      <c r="CG62" s="562">
        <f t="shared" si="78"/>
        <v>-4.3471125644827056E-3</v>
      </c>
      <c r="CH62" s="206">
        <f>'FY 2016 by Agency'!CN63*Inflator!$E$18</f>
        <v>2781</v>
      </c>
      <c r="CI62" s="753">
        <f t="shared" si="79"/>
        <v>19.278549164068863</v>
      </c>
      <c r="CJ62" s="66">
        <f t="shared" si="80"/>
        <v>6.9806276654850686E-3</v>
      </c>
    </row>
    <row r="63" spans="1:88" ht="18" customHeight="1" x14ac:dyDescent="0.25">
      <c r="A63" s="312" t="s">
        <v>179</v>
      </c>
      <c r="B63" s="302">
        <f>'FY 2016 by Agency'!B64*Inflator!$E$2</f>
        <v>8455.8444976076553</v>
      </c>
      <c r="C63" s="302">
        <f>'FY 2016 by Agency'!C64*Inflator!$E$3</f>
        <v>11211.344281298301</v>
      </c>
      <c r="D63" s="302">
        <f t="shared" si="6"/>
        <v>2755.4997836906459</v>
      </c>
      <c r="E63" s="303">
        <f t="shared" si="7"/>
        <v>0.32586925935904304</v>
      </c>
      <c r="F63" s="204">
        <f>'FY 2016 by Agency'!F64*Inflator!$E$4</f>
        <v>11363.096688237534</v>
      </c>
      <c r="G63" s="204">
        <f t="shared" si="8"/>
        <v>151.75240693923297</v>
      </c>
      <c r="H63" s="199">
        <f t="shared" si="9"/>
        <v>1.3535612066821631E-2</v>
      </c>
      <c r="I63" s="204">
        <f>'FY 2016 by Agency'!I64*Inflator!$E$5</f>
        <v>13642.895500185943</v>
      </c>
      <c r="J63" s="204">
        <f t="shared" si="10"/>
        <v>2279.7988119484089</v>
      </c>
      <c r="K63" s="199">
        <f t="shared" si="11"/>
        <v>0.20063182374469574</v>
      </c>
      <c r="L63" s="204">
        <f>'FY 2016 by Agency'!L64*Inflator!$E$6</f>
        <v>21724.08615049073</v>
      </c>
      <c r="M63" s="204">
        <f t="shared" si="12"/>
        <v>8081.1906503047867</v>
      </c>
      <c r="N63" s="199">
        <f t="shared" si="13"/>
        <v>0.59233691632356533</v>
      </c>
      <c r="O63" s="204">
        <f>'FY 2016 by Agency'!O64*Inflator!$E$7</f>
        <v>60228.818373812028</v>
      </c>
      <c r="P63" s="204">
        <f t="shared" si="69"/>
        <v>38504.732223321298</v>
      </c>
      <c r="Q63" s="304">
        <f t="shared" si="49"/>
        <v>1.7724442794318189</v>
      </c>
      <c r="R63" s="204">
        <f>'FY 2016 by Agency'!R64*Inflator!$E$8</f>
        <v>62844.587576374746</v>
      </c>
      <c r="S63" s="204">
        <f t="shared" si="50"/>
        <v>2615.7692025627184</v>
      </c>
      <c r="T63" s="304">
        <f t="shared" si="51"/>
        <v>4.3430525007611236E-2</v>
      </c>
      <c r="U63" s="204">
        <f>'FY 2016 by Agency'!U64*Inflator!$E$9</f>
        <v>89937.617705570286</v>
      </c>
      <c r="V63" s="204">
        <f t="shared" si="70"/>
        <v>27093.03012919554</v>
      </c>
      <c r="W63" s="304">
        <f t="shared" si="71"/>
        <v>0.43111159089507112</v>
      </c>
      <c r="X63" s="204">
        <f>'FY 2016 by Agency'!X64*Inflator!$E$10</f>
        <v>22241.574150523978</v>
      </c>
      <c r="Y63" s="206">
        <f t="shared" si="52"/>
        <v>-67696.043555046315</v>
      </c>
      <c r="Z63" s="304">
        <f t="shared" si="53"/>
        <v>-0.75269998563519391</v>
      </c>
      <c r="AA63" s="204">
        <f>'FY 2016 by Agency'!AA64*Inflator!$E$11</f>
        <v>70800.843899331012</v>
      </c>
      <c r="AB63" s="206">
        <f t="shared" si="54"/>
        <v>48559.269748807033</v>
      </c>
      <c r="AC63" s="304">
        <f t="shared" si="55"/>
        <v>2.183265870489794</v>
      </c>
      <c r="AD63" s="204" t="e">
        <f>'FY 2016 by Agency'!AD64*Inflator!#REF!</f>
        <v>#REF!</v>
      </c>
      <c r="AE63" s="204">
        <f>'FY 2016 by Agency'!AE64*Inflator!$B$8</f>
        <v>0</v>
      </c>
      <c r="AF63" s="204">
        <f>'FY 2016 by Agency'!AF64*Inflator!$E$12</f>
        <v>29863.587406015042</v>
      </c>
      <c r="AG63" s="204">
        <f t="shared" si="56"/>
        <v>-40937.256493315974</v>
      </c>
      <c r="AH63" s="304">
        <f t="shared" si="57"/>
        <v>-0.57820294559656771</v>
      </c>
      <c r="AI63" s="204">
        <f>'FY 2016 by Agency'!AI64*Inflator!$B$8</f>
        <v>0</v>
      </c>
      <c r="AJ63" s="204">
        <f>'FY 2016 by Agency'!AJ64*Inflator!$B$8</f>
        <v>0</v>
      </c>
      <c r="AK63" s="204">
        <f>'FY 2016 by Agency'!AK64</f>
        <v>9925</v>
      </c>
      <c r="AL63" s="204">
        <f>'FY 2016 by Agency'!AL64</f>
        <v>5031</v>
      </c>
      <c r="AM63" s="204">
        <f>'FY 2016 by Agency'!AM64</f>
        <v>14956</v>
      </c>
      <c r="AN63" s="204">
        <f>'FY 2016 by Agency'!AN64</f>
        <v>12064</v>
      </c>
      <c r="AO63" s="204">
        <f>'FY 2016 by Agency'!AO64</f>
        <v>20478</v>
      </c>
      <c r="AP63" s="204">
        <f>'FY 2016 by Agency'!AP64</f>
        <v>2445</v>
      </c>
      <c r="AQ63" s="204">
        <f>'FY 2016 by Agency'!AQ64</f>
        <v>54</v>
      </c>
      <c r="AR63" s="204">
        <f>'FY 2016 by Agency'!AR64</f>
        <v>2499</v>
      </c>
      <c r="AS63" s="204">
        <f>'FY 2016 by Agency'!AS64</f>
        <v>19880.780460000002</v>
      </c>
      <c r="AT63" s="204" t="e">
        <f t="shared" si="58"/>
        <v>#REF!</v>
      </c>
      <c r="AU63" s="304" t="e">
        <f t="shared" si="59"/>
        <v>#REF!</v>
      </c>
      <c r="AV63" s="204">
        <f t="shared" si="60"/>
        <v>-9982.80694601504</v>
      </c>
      <c r="AW63" s="304">
        <f t="shared" si="61"/>
        <v>-0.33428023265564977</v>
      </c>
      <c r="AX63" s="206">
        <f>12064+8414</f>
        <v>20478</v>
      </c>
      <c r="AY63" s="206">
        <f>12064+8414</f>
        <v>20478</v>
      </c>
      <c r="AZ63" s="206">
        <f t="shared" si="62"/>
        <v>0</v>
      </c>
      <c r="BA63" s="206">
        <f t="shared" si="63"/>
        <v>-9982.80694601504</v>
      </c>
      <c r="BB63" s="206">
        <f t="shared" si="64"/>
        <v>19880.780460000002</v>
      </c>
      <c r="BC63" s="304">
        <f t="shared" si="65"/>
        <v>-0.33428023265564977</v>
      </c>
      <c r="BD63" s="306">
        <v>960.21699999999998</v>
      </c>
      <c r="BE63" s="199">
        <f t="shared" si="66"/>
        <v>4.6890174821759938E-2</v>
      </c>
      <c r="BF63" s="66">
        <v>1486</v>
      </c>
      <c r="BG63" s="66">
        <v>44</v>
      </c>
      <c r="BI63" s="200">
        <v>18876</v>
      </c>
      <c r="BJ63" s="206">
        <f t="shared" si="72"/>
        <v>-1602</v>
      </c>
      <c r="BK63" s="200">
        <f>BI63+AP63+AQ63+26793</f>
        <v>48168</v>
      </c>
      <c r="BL63" s="307">
        <f>'FY 2016 by Agency'!BB64*Inflator!$E$13</f>
        <v>19110.941409026549</v>
      </c>
      <c r="BM63" s="204">
        <f t="shared" si="74"/>
        <v>-10752.645996988493</v>
      </c>
      <c r="BN63" s="199">
        <f t="shared" si="75"/>
        <v>-0.3600587515089605</v>
      </c>
      <c r="BO63" s="204">
        <f>'FY 2016 by Agency'!AX64*Inflator!$E$13</f>
        <v>20753.80775099176</v>
      </c>
      <c r="BP63" s="204">
        <f t="shared" si="32"/>
        <v>-9109.7796550232815</v>
      </c>
      <c r="BQ63" s="199">
        <f t="shared" si="33"/>
        <v>-0.30504639416456758</v>
      </c>
      <c r="BR63" s="204">
        <f>'FY 2016 by Agency'!BE64*Inflator!$E$14</f>
        <v>15257.996424314659</v>
      </c>
      <c r="BS63" s="204">
        <f t="shared" si="34"/>
        <v>-5495.8113266771015</v>
      </c>
      <c r="BT63" s="199">
        <f t="shared" si="35"/>
        <v>-0.26480978298618352</v>
      </c>
      <c r="BU63" s="204">
        <f>'FY 2016 by Agency'!BL64*Inflator!$E$14</f>
        <v>18652.718116805721</v>
      </c>
      <c r="BV63" s="204">
        <f t="shared" si="76"/>
        <v>-458.22329222082772</v>
      </c>
      <c r="BW63" s="309">
        <v>14784</v>
      </c>
      <c r="BX63" s="206">
        <f>'FY 2016 by Agency'!BW64*Inflator!E15</f>
        <v>19296.277924362355</v>
      </c>
      <c r="BY63" s="204">
        <f>'FY 2016 by Agency'!BZ64*Inflator!$E$15</f>
        <v>15960.518909410728</v>
      </c>
      <c r="BZ63" s="206">
        <f>BY63-BR63</f>
        <v>702.52248509606943</v>
      </c>
      <c r="CA63" s="199">
        <f>BZ63/BR63</f>
        <v>4.6042905343492667E-2</v>
      </c>
      <c r="CB63" s="308">
        <f>'FY 2016 by Agency'!CF64*Inflator!$E$16</f>
        <v>15268.271729714119</v>
      </c>
      <c r="CC63" s="206">
        <f t="shared" si="67"/>
        <v>-692.24717969660924</v>
      </c>
      <c r="CD63" s="304">
        <f t="shared" si="68"/>
        <v>-4.3372473265167001E-2</v>
      </c>
      <c r="CE63" s="206">
        <f>'FY 2016 by Agency'!CK64*Inflator!$E$17</f>
        <v>22078.457069991502</v>
      </c>
      <c r="CF63" s="206">
        <f t="shared" si="77"/>
        <v>6810.1853402773831</v>
      </c>
      <c r="CG63" s="562">
        <f t="shared" si="78"/>
        <v>0.4460351152268166</v>
      </c>
      <c r="CH63" s="206">
        <f>'FY 2016 by Agency'!CN64*Inflator!$E$18</f>
        <v>14741</v>
      </c>
      <c r="CI63" s="753">
        <f t="shared" si="79"/>
        <v>-7337.4570699915021</v>
      </c>
      <c r="CJ63" s="66">
        <f t="shared" si="80"/>
        <v>-0.33233559060448992</v>
      </c>
    </row>
    <row r="64" spans="1:88" ht="18" customHeight="1" x14ac:dyDescent="0.25">
      <c r="A64" s="312" t="s">
        <v>180</v>
      </c>
      <c r="B64" s="310" t="s">
        <v>132</v>
      </c>
      <c r="C64" s="310" t="s">
        <v>132</v>
      </c>
      <c r="D64" s="310" t="s">
        <v>132</v>
      </c>
      <c r="E64" s="310" t="s">
        <v>132</v>
      </c>
      <c r="F64" s="204">
        <f>'FY 2016 by Agency'!F65*Inflator!$E$4</f>
        <v>0</v>
      </c>
      <c r="G64" s="310" t="s">
        <v>132</v>
      </c>
      <c r="H64" s="310" t="s">
        <v>132</v>
      </c>
      <c r="I64" s="204">
        <f>'FY 2016 by Agency'!I65*Inflator!$E$5</f>
        <v>0</v>
      </c>
      <c r="J64" s="204">
        <f t="shared" si="10"/>
        <v>0</v>
      </c>
      <c r="K64" s="310" t="s">
        <v>132</v>
      </c>
      <c r="L64" s="204">
        <f>'FY 2016 by Agency'!L65*Inflator!$E$6</f>
        <v>0</v>
      </c>
      <c r="M64" s="204">
        <f t="shared" si="12"/>
        <v>0</v>
      </c>
      <c r="N64" s="310" t="s">
        <v>132</v>
      </c>
      <c r="O64" s="204">
        <f>'FY 2016 by Agency'!O65*Inflator!$E$7</f>
        <v>0</v>
      </c>
      <c r="P64" s="310">
        <v>0</v>
      </c>
      <c r="Q64" s="394" t="s">
        <v>132</v>
      </c>
      <c r="R64" s="204">
        <f>'FY 2016 by Agency'!R65*Inflator!$E$8</f>
        <v>13334.524439918534</v>
      </c>
      <c r="S64" s="204">
        <f t="shared" si="50"/>
        <v>13334.524439918534</v>
      </c>
      <c r="T64" s="394" t="s">
        <v>132</v>
      </c>
      <c r="U64" s="204">
        <f>'FY 2016 by Agency'!U65*Inflator!$E$9</f>
        <v>27153.909151193631</v>
      </c>
      <c r="V64" s="204">
        <f t="shared" si="70"/>
        <v>13819.384711275097</v>
      </c>
      <c r="W64" s="304">
        <f t="shared" si="71"/>
        <v>1.0363612720904447</v>
      </c>
      <c r="X64" s="204">
        <f>'FY 2016 by Agency'!X65*Inflator!$E$10</f>
        <v>35449.904414099714</v>
      </c>
      <c r="Y64" s="206">
        <f t="shared" si="52"/>
        <v>8295.9952629060826</v>
      </c>
      <c r="Z64" s="304">
        <f t="shared" si="53"/>
        <v>0.30551753033840462</v>
      </c>
      <c r="AA64" s="204">
        <f>'FY 2016 by Agency'!AA65*Inflator!$E$11</f>
        <v>35562.838165020716</v>
      </c>
      <c r="AB64" s="206">
        <f t="shared" si="54"/>
        <v>112.93375092100177</v>
      </c>
      <c r="AC64" s="304">
        <f t="shared" si="55"/>
        <v>3.1857279388342701E-3</v>
      </c>
      <c r="AD64" s="204" t="e">
        <f>'FY 2016 by Agency'!AD65*Inflator!#REF!</f>
        <v>#REF!</v>
      </c>
      <c r="AE64" s="204">
        <f>'FY 2016 by Agency'!AE65*Inflator!$B$8</f>
        <v>0</v>
      </c>
      <c r="AF64" s="204">
        <f>'FY 2016 by Agency'!AF65*Inflator!$E$12</f>
        <v>28335.24718045113</v>
      </c>
      <c r="AG64" s="204">
        <f t="shared" si="56"/>
        <v>-7227.590984569586</v>
      </c>
      <c r="AH64" s="304">
        <f t="shared" si="57"/>
        <v>-0.20323436928829203</v>
      </c>
      <c r="AI64" s="204">
        <f>'FY 2016 by Agency'!AI65*Inflator!$B$8</f>
        <v>0</v>
      </c>
      <c r="AJ64" s="204">
        <f>'FY 2016 by Agency'!AJ65*Inflator!$B$8</f>
        <v>0</v>
      </c>
      <c r="AK64" s="204">
        <f>'FY 2016 by Agency'!AK65</f>
        <v>16457</v>
      </c>
      <c r="AL64" s="204">
        <f>'FY 2016 by Agency'!AL65</f>
        <v>9000</v>
      </c>
      <c r="AM64" s="204">
        <f>'FY 2016 by Agency'!AM65</f>
        <v>25457</v>
      </c>
      <c r="AN64" s="204">
        <f>'FY 2016 by Agency'!AN65</f>
        <v>24823</v>
      </c>
      <c r="AO64" s="204">
        <f>'FY 2016 by Agency'!AO65</f>
        <v>24823</v>
      </c>
      <c r="AP64" s="204">
        <f>'FY 2016 by Agency'!AP65</f>
        <v>0</v>
      </c>
      <c r="AQ64" s="204">
        <f>'FY 2016 by Agency'!AQ65</f>
        <v>0</v>
      </c>
      <c r="AR64" s="204">
        <f>'FY 2016 by Agency'!AR65</f>
        <v>0</v>
      </c>
      <c r="AS64" s="204">
        <f>'FY 2016 by Agency'!AS65</f>
        <v>22822.88351</v>
      </c>
      <c r="AT64" s="204" t="e">
        <f t="shared" si="58"/>
        <v>#REF!</v>
      </c>
      <c r="AU64" s="304" t="e">
        <f t="shared" si="59"/>
        <v>#REF!</v>
      </c>
      <c r="AV64" s="204">
        <f t="shared" si="60"/>
        <v>-5512.36367045113</v>
      </c>
      <c r="AW64" s="304">
        <f t="shared" si="61"/>
        <v>-0.19454087113996255</v>
      </c>
      <c r="AX64" s="206">
        <v>25823</v>
      </c>
      <c r="AY64" s="206">
        <v>25823</v>
      </c>
      <c r="AZ64" s="206">
        <f t="shared" si="62"/>
        <v>1000</v>
      </c>
      <c r="BA64" s="206">
        <f t="shared" si="63"/>
        <v>-4512.36367045113</v>
      </c>
      <c r="BB64" s="206">
        <f t="shared" si="64"/>
        <v>23822.88351</v>
      </c>
      <c r="BC64" s="304">
        <f t="shared" si="65"/>
        <v>-0.15924913736289092</v>
      </c>
      <c r="BD64" s="306">
        <v>0</v>
      </c>
      <c r="BE64" s="199">
        <f t="shared" si="66"/>
        <v>0</v>
      </c>
      <c r="BF64" s="66">
        <v>3000</v>
      </c>
      <c r="BI64" s="200">
        <v>22823</v>
      </c>
      <c r="BJ64" s="206">
        <f t="shared" si="72"/>
        <v>-3000</v>
      </c>
      <c r="BK64" s="200">
        <f t="shared" si="73"/>
        <v>22823</v>
      </c>
      <c r="BL64" s="307">
        <f>'FY 2016 by Agency'!BB65*Inflator!$E$13</f>
        <v>25093.332098422336</v>
      </c>
      <c r="BM64" s="204">
        <f t="shared" si="74"/>
        <v>-3241.9150820287941</v>
      </c>
      <c r="BN64" s="199">
        <f t="shared" si="75"/>
        <v>-0.11441280400283345</v>
      </c>
      <c r="BO64" s="204">
        <f>'FY 2016 by Agency'!AX65*Inflator!$E$13</f>
        <v>25093.46017699115</v>
      </c>
      <c r="BP64" s="204">
        <f t="shared" si="32"/>
        <v>-3241.78700345998</v>
      </c>
      <c r="BQ64" s="199">
        <f t="shared" si="33"/>
        <v>-0.11440828388808032</v>
      </c>
      <c r="BR64" s="204">
        <f>'FY 2016 by Agency'!BE65*Inflator!$E$14</f>
        <v>23619.189511323002</v>
      </c>
      <c r="BS64" s="204">
        <f t="shared" si="34"/>
        <v>-1474.2706656681476</v>
      </c>
      <c r="BT64" s="199">
        <f t="shared" si="35"/>
        <v>-5.8751190759253877E-2</v>
      </c>
      <c r="BU64" s="204">
        <f>'FY 2016 by Agency'!BL65*Inflator!$E$14</f>
        <v>23619.189511323002</v>
      </c>
      <c r="BV64" s="204">
        <f t="shared" si="76"/>
        <v>-1474.1425870993335</v>
      </c>
      <c r="BW64" s="206">
        <v>30182</v>
      </c>
      <c r="BX64" s="206">
        <f>'FY 2016 by Agency'!BW65*Inflator!E15</f>
        <v>31880.898856640277</v>
      </c>
      <c r="BY64" s="204">
        <f>'FY 2016 by Agency'!BZ65*Inflator!$E$15</f>
        <v>36106.052770448543</v>
      </c>
      <c r="BZ64" s="206">
        <f t="shared" si="37"/>
        <v>6562.8104886769979</v>
      </c>
      <c r="CA64" s="199">
        <f t="shared" si="38"/>
        <v>0.27785925869855937</v>
      </c>
      <c r="CB64" s="308">
        <f>'FY 2016 by Agency'!CF65*Inflator!$E$16</f>
        <v>36346.28992203292</v>
      </c>
      <c r="CC64" s="206">
        <f t="shared" si="67"/>
        <v>240.23715158437699</v>
      </c>
      <c r="CD64" s="304">
        <f t="shared" si="68"/>
        <v>6.65365314540841E-3</v>
      </c>
      <c r="CE64" s="206">
        <f>'FY 2016 by Agency'!CK65*Inflator!$E$17</f>
        <v>46926.803343723441</v>
      </c>
      <c r="CF64" s="206">
        <f t="shared" si="77"/>
        <v>10580.513421690521</v>
      </c>
      <c r="CG64" s="562">
        <f t="shared" si="78"/>
        <v>0.29110298312116506</v>
      </c>
      <c r="CH64" s="206">
        <f>'FY 2016 by Agency'!CN65*Inflator!$E$18</f>
        <v>52078</v>
      </c>
      <c r="CI64" s="753">
        <f t="shared" si="79"/>
        <v>5151.1966562765592</v>
      </c>
      <c r="CJ64" s="66">
        <f t="shared" si="80"/>
        <v>0.10977088335946801</v>
      </c>
    </row>
    <row r="65" spans="1:88" ht="18" customHeight="1" x14ac:dyDescent="0.25">
      <c r="A65" s="312" t="s">
        <v>181</v>
      </c>
      <c r="B65" s="302">
        <f>'FY 2016 by Agency'!B66*Inflator!$E$2</f>
        <v>34175.345693779906</v>
      </c>
      <c r="C65" s="302">
        <f>'FY 2016 by Agency'!C66*Inflator!$E$3</f>
        <v>36872.277820710973</v>
      </c>
      <c r="D65" s="302">
        <f t="shared" si="6"/>
        <v>2696.9321269310676</v>
      </c>
      <c r="E65" s="303">
        <f t="shared" si="7"/>
        <v>7.8914552938141119E-2</v>
      </c>
      <c r="F65" s="204">
        <f>'FY 2016 by Agency'!F66*Inflator!$E$4</f>
        <v>32842.572516178152</v>
      </c>
      <c r="G65" s="204">
        <f t="shared" si="8"/>
        <v>-4029.7053045328212</v>
      </c>
      <c r="H65" s="199">
        <f t="shared" si="9"/>
        <v>-0.10928821170547147</v>
      </c>
      <c r="I65" s="204">
        <f>'FY 2016 by Agency'!I66*Inflator!$E$5</f>
        <v>44951.076236519155</v>
      </c>
      <c r="J65" s="204">
        <f t="shared" si="10"/>
        <v>12108.503720341003</v>
      </c>
      <c r="K65" s="199">
        <f t="shared" si="11"/>
        <v>0.36868316921204608</v>
      </c>
      <c r="L65" s="204">
        <f>'FY 2016 by Agency'!L66*Inflator!$E$6</f>
        <v>39124.834242093784</v>
      </c>
      <c r="M65" s="204">
        <f t="shared" si="12"/>
        <v>-5826.2419944253706</v>
      </c>
      <c r="N65" s="199">
        <f t="shared" si="13"/>
        <v>-0.12961295884818025</v>
      </c>
      <c r="O65" s="204">
        <f>'FY 2016 by Agency'!O66*Inflator!$E$7</f>
        <v>51096.399155227024</v>
      </c>
      <c r="P65" s="204">
        <f t="shared" si="69"/>
        <v>11971.564913133239</v>
      </c>
      <c r="Q65" s="304">
        <f t="shared" si="49"/>
        <v>0.3059837861307339</v>
      </c>
      <c r="R65" s="204">
        <f>'FY 2016 by Agency'!R66*Inflator!$E$8</f>
        <v>59669.642566191447</v>
      </c>
      <c r="S65" s="204">
        <f t="shared" si="50"/>
        <v>8573.2434109644237</v>
      </c>
      <c r="T65" s="304">
        <f t="shared" si="51"/>
        <v>0.16778566694924146</v>
      </c>
      <c r="U65" s="204">
        <f>'FY 2016 by Agency'!U66*Inflator!$E$9</f>
        <v>83925.051724137913</v>
      </c>
      <c r="V65" s="204">
        <f t="shared" si="70"/>
        <v>24255.409157946466</v>
      </c>
      <c r="W65" s="304">
        <f t="shared" si="71"/>
        <v>0.40649496318064876</v>
      </c>
      <c r="X65" s="204">
        <f>'FY 2016 by Agency'!X66*Inflator!$E$10</f>
        <v>128137.05080978089</v>
      </c>
      <c r="Y65" s="206">
        <f t="shared" si="52"/>
        <v>44211.999085642979</v>
      </c>
      <c r="Z65" s="304">
        <f t="shared" si="53"/>
        <v>0.52680335820307922</v>
      </c>
      <c r="AA65" s="204">
        <f>'FY 2016 by Agency'!AA66*Inflator!$E$11</f>
        <v>107035.15546352344</v>
      </c>
      <c r="AB65" s="206">
        <f t="shared" si="54"/>
        <v>-21101.895346257457</v>
      </c>
      <c r="AC65" s="304">
        <f t="shared" si="55"/>
        <v>-0.16468223057188325</v>
      </c>
      <c r="AD65" s="204" t="e">
        <f>'FY 2016 by Agency'!AD66*Inflator!#REF!</f>
        <v>#REF!</v>
      </c>
      <c r="AE65" s="204">
        <f>'FY 2016 by Agency'!AE66*Inflator!$B$8</f>
        <v>0</v>
      </c>
      <c r="AF65" s="204">
        <f>'FY 2016 by Agency'!AF66*Inflator!$E$12</f>
        <v>89039.927631578961</v>
      </c>
      <c r="AG65" s="204">
        <f t="shared" si="56"/>
        <v>-17995.227831944474</v>
      </c>
      <c r="AH65" s="304">
        <f t="shared" si="57"/>
        <v>-0.16812446110826715</v>
      </c>
      <c r="AI65" s="204">
        <f>'FY 2016 by Agency'!AI66*Inflator!$B$8</f>
        <v>0</v>
      </c>
      <c r="AJ65" s="204">
        <f>'FY 2016 by Agency'!AJ66*Inflator!$B$8</f>
        <v>0</v>
      </c>
      <c r="AK65" s="204">
        <f>'FY 2016 by Agency'!AK66</f>
        <v>33420</v>
      </c>
      <c r="AL65" s="204">
        <f>'FY 2016 by Agency'!AL66</f>
        <v>23420</v>
      </c>
      <c r="AM65" s="204">
        <f>'FY 2016 by Agency'!AM66</f>
        <v>56840</v>
      </c>
      <c r="AN65" s="204">
        <f>'FY 2016 by Agency'!AN66</f>
        <v>37872</v>
      </c>
      <c r="AO65" s="204">
        <f>'FY 2016 by Agency'!AO66</f>
        <v>74366</v>
      </c>
      <c r="AP65" s="204">
        <f>'FY 2016 by Agency'!AP66</f>
        <v>8901</v>
      </c>
      <c r="AQ65" s="204">
        <f>'FY 2016 by Agency'!AQ66</f>
        <v>737</v>
      </c>
      <c r="AR65" s="204">
        <f>'FY 2016 by Agency'!AR66</f>
        <v>9638</v>
      </c>
      <c r="AS65" s="204">
        <f>'FY 2016 by Agency'!AS66</f>
        <v>69549.239529999992</v>
      </c>
      <c r="AT65" s="204" t="e">
        <f t="shared" si="58"/>
        <v>#REF!</v>
      </c>
      <c r="AU65" s="304" t="e">
        <f t="shared" si="59"/>
        <v>#REF!</v>
      </c>
      <c r="AV65" s="204">
        <f t="shared" si="60"/>
        <v>-19490.68810157897</v>
      </c>
      <c r="AW65" s="304">
        <f t="shared" si="61"/>
        <v>-0.21889829226081253</v>
      </c>
      <c r="AX65" s="206">
        <f>36630+36494</f>
        <v>73124</v>
      </c>
      <c r="AY65" s="206">
        <f>36630+36494</f>
        <v>73124</v>
      </c>
      <c r="AZ65" s="206">
        <f t="shared" si="62"/>
        <v>-1242</v>
      </c>
      <c r="BA65" s="206">
        <f t="shared" si="63"/>
        <v>-20732.68810157897</v>
      </c>
      <c r="BB65" s="206">
        <f t="shared" si="64"/>
        <v>68307.239529999992</v>
      </c>
      <c r="BC65" s="304">
        <f t="shared" si="65"/>
        <v>-0.23284709065987497</v>
      </c>
      <c r="BD65" s="306">
        <v>3176.8449999999998</v>
      </c>
      <c r="BE65" s="199">
        <f t="shared" si="66"/>
        <v>4.3444628302609263E-2</v>
      </c>
      <c r="BF65" s="66">
        <v>4687</v>
      </c>
      <c r="BI65" s="200">
        <v>74405</v>
      </c>
      <c r="BJ65" s="206">
        <f t="shared" si="72"/>
        <v>1281</v>
      </c>
      <c r="BK65" s="200">
        <f t="shared" si="73"/>
        <v>84043</v>
      </c>
      <c r="BL65" s="307">
        <f>'FY 2016 by Agency'!BB66*Inflator!$E$13</f>
        <v>65871.283499111989</v>
      </c>
      <c r="BM65" s="204">
        <f t="shared" si="74"/>
        <v>-23168.644132466972</v>
      </c>
      <c r="BN65" s="199">
        <f t="shared" si="75"/>
        <v>-0.26020510964847149</v>
      </c>
      <c r="BO65" s="204">
        <f>'FY 2016 by Agency'!AX66*Inflator!$E$13</f>
        <v>81806.901129081481</v>
      </c>
      <c r="BP65" s="204">
        <f t="shared" si="32"/>
        <v>-7233.0265024974797</v>
      </c>
      <c r="BQ65" s="199">
        <f t="shared" si="33"/>
        <v>-8.1233517309511033E-2</v>
      </c>
      <c r="BR65" s="204">
        <f>'FY 2016 by Agency'!BE66*Inflator!$E$14</f>
        <v>59998.109356376634</v>
      </c>
      <c r="BS65" s="204">
        <f t="shared" si="34"/>
        <v>-21808.791772704848</v>
      </c>
      <c r="BT65" s="199">
        <f t="shared" si="35"/>
        <v>-0.2665886553787582</v>
      </c>
      <c r="BU65" s="204">
        <f>'FY 2016 by Agency'!BL66*Inflator!$E$14</f>
        <v>65680.671632896294</v>
      </c>
      <c r="BV65" s="204">
        <f t="shared" si="76"/>
        <v>-190.61186621569504</v>
      </c>
      <c r="BW65" s="309">
        <v>78332</v>
      </c>
      <c r="BX65" s="206">
        <f>'FY 2016 by Agency'!BW66*Inflator!E15</f>
        <v>88223.326297273525</v>
      </c>
      <c r="BY65" s="204">
        <f>'FY 2016 by Agency'!BZ66*Inflator!$E$15</f>
        <v>63939.254177660507</v>
      </c>
      <c r="BZ65" s="206">
        <f t="shared" si="37"/>
        <v>18333.890643623366</v>
      </c>
      <c r="CA65" s="199">
        <f t="shared" si="38"/>
        <v>0.30557447293420137</v>
      </c>
      <c r="CB65" s="308">
        <f>'FY 2016 by Agency'!CF66*Inflator!$E$16</f>
        <v>70216.36269130811</v>
      </c>
      <c r="CC65" s="206">
        <f t="shared" si="67"/>
        <v>6277.1085136476031</v>
      </c>
      <c r="CD65" s="304">
        <f t="shared" si="68"/>
        <v>9.8173001771433524E-2</v>
      </c>
      <c r="CE65" s="206">
        <f>'FY 2016 by Agency'!CK66*Inflator!$E$17</f>
        <v>91143.954661377167</v>
      </c>
      <c r="CF65" s="206">
        <f t="shared" si="77"/>
        <v>20927.591970069057</v>
      </c>
      <c r="CG65" s="562">
        <f t="shared" si="78"/>
        <v>0.29804437552644159</v>
      </c>
      <c r="CH65" s="206">
        <f>'FY 2016 by Agency'!CN66*Inflator!$E$18</f>
        <v>95172</v>
      </c>
      <c r="CI65" s="753">
        <f t="shared" si="79"/>
        <v>4028.0453386228328</v>
      </c>
      <c r="CJ65" s="66">
        <f t="shared" si="80"/>
        <v>4.4194322635966801E-2</v>
      </c>
    </row>
    <row r="66" spans="1:88" ht="18" customHeight="1" x14ac:dyDescent="0.25">
      <c r="A66" s="312" t="s">
        <v>182</v>
      </c>
      <c r="B66" s="302">
        <f>'FY 2016 by Agency'!B67*Inflator!$E$2</f>
        <v>344.78468899521533</v>
      </c>
      <c r="C66" s="302">
        <f>'FY 2016 by Agency'!C67*Inflator!$E$3</f>
        <v>334.12673879443588</v>
      </c>
      <c r="D66" s="302">
        <f t="shared" si="6"/>
        <v>-10.657950200779453</v>
      </c>
      <c r="E66" s="303">
        <f t="shared" si="7"/>
        <v>-3.0911901081916535E-2</v>
      </c>
      <c r="F66" s="204">
        <f>'FY 2016 by Agency'!F67*Inflator!$E$4</f>
        <v>333.28092881614009</v>
      </c>
      <c r="G66" s="204">
        <f t="shared" si="8"/>
        <v>-0.84580997829579019</v>
      </c>
      <c r="H66" s="199">
        <f t="shared" si="9"/>
        <v>-2.5314046440807485E-3</v>
      </c>
      <c r="I66" s="204">
        <f>'FY 2016 by Agency'!I67*Inflator!$E$5</f>
        <v>348.37486054295277</v>
      </c>
      <c r="J66" s="204">
        <f t="shared" si="10"/>
        <v>15.093931726812684</v>
      </c>
      <c r="K66" s="199">
        <f t="shared" si="11"/>
        <v>4.5288915211645672E-2</v>
      </c>
      <c r="L66" s="204">
        <f>'FY 2016 by Agency'!L67*Inflator!$E$6</f>
        <v>96.918211559432933</v>
      </c>
      <c r="M66" s="204">
        <f t="shared" si="12"/>
        <v>-251.45664898351984</v>
      </c>
      <c r="N66" s="199">
        <f t="shared" si="13"/>
        <v>-0.72179906607387523</v>
      </c>
      <c r="O66" s="204">
        <f>'FY 2016 by Agency'!O67*Inflator!$E$7</f>
        <v>0</v>
      </c>
      <c r="P66" s="204">
        <f t="shared" si="69"/>
        <v>-96.918211559432933</v>
      </c>
      <c r="Q66" s="304">
        <f t="shared" si="49"/>
        <v>-1</v>
      </c>
      <c r="R66" s="204">
        <f>'FY 2016 by Agency'!R67*Inflator!$E$8</f>
        <v>0</v>
      </c>
      <c r="S66" s="204">
        <f t="shared" si="50"/>
        <v>0</v>
      </c>
      <c r="T66" s="394" t="s">
        <v>132</v>
      </c>
      <c r="U66" s="204">
        <f>'FY 2016 by Agency'!U67*Inflator!$E$9</f>
        <v>0</v>
      </c>
      <c r="V66" s="204">
        <f t="shared" si="70"/>
        <v>0</v>
      </c>
      <c r="W66" s="394" t="s">
        <v>132</v>
      </c>
      <c r="X66" s="204">
        <f>'FY 2016 by Agency'!X67*Inflator!$E$10</f>
        <v>0</v>
      </c>
      <c r="Y66" s="206">
        <f t="shared" si="52"/>
        <v>0</v>
      </c>
      <c r="Z66" s="311" t="s">
        <v>405</v>
      </c>
      <c r="AA66" s="204">
        <f>'FY 2016 by Agency'!AA67*Inflator!$E$11</f>
        <v>0</v>
      </c>
      <c r="AB66" s="206">
        <f t="shared" si="54"/>
        <v>0</v>
      </c>
      <c r="AC66" s="304"/>
      <c r="AD66" s="204" t="e">
        <f>'FY 2016 by Agency'!AD67*Inflator!#REF!</f>
        <v>#REF!</v>
      </c>
      <c r="AE66" s="204">
        <f>'FY 2016 by Agency'!AE67*Inflator!$B$8</f>
        <v>0</v>
      </c>
      <c r="AF66" s="204">
        <f>'FY 2016 by Agency'!AF67*Inflator!$E$12</f>
        <v>0</v>
      </c>
      <c r="AG66" s="204">
        <f t="shared" si="56"/>
        <v>0</v>
      </c>
      <c r="AH66" s="304" t="e">
        <f t="shared" si="57"/>
        <v>#DIV/0!</v>
      </c>
      <c r="AI66" s="204">
        <f>'FY 2016 by Agency'!AI67*Inflator!$B$8</f>
        <v>0</v>
      </c>
      <c r="AJ66" s="204">
        <f>'FY 2016 by Agency'!AJ67*Inflator!$B$8</f>
        <v>0</v>
      </c>
      <c r="AK66" s="204">
        <f>'FY 2016 by Agency'!AK67</f>
        <v>0</v>
      </c>
      <c r="AL66" s="204">
        <f>'FY 2016 by Agency'!AL67</f>
        <v>0</v>
      </c>
      <c r="AM66" s="204">
        <f>'FY 2016 by Agency'!AM67</f>
        <v>0</v>
      </c>
      <c r="AN66" s="204">
        <f>'FY 2016 by Agency'!AN67</f>
        <v>0</v>
      </c>
      <c r="AO66" s="204">
        <f>'FY 2016 by Agency'!AO67</f>
        <v>0</v>
      </c>
      <c r="AP66" s="204">
        <f>'FY 2016 by Agency'!AP67</f>
        <v>0</v>
      </c>
      <c r="AQ66" s="204">
        <f>'FY 2016 by Agency'!AQ67</f>
        <v>0</v>
      </c>
      <c r="AR66" s="204">
        <f>'FY 2016 by Agency'!AR67</f>
        <v>0</v>
      </c>
      <c r="AS66" s="204">
        <f>'FY 2016 by Agency'!AS67</f>
        <v>0</v>
      </c>
      <c r="AT66" s="204" t="e">
        <f t="shared" si="58"/>
        <v>#REF!</v>
      </c>
      <c r="AU66" s="304" t="e">
        <f t="shared" si="59"/>
        <v>#REF!</v>
      </c>
      <c r="AV66" s="204">
        <f t="shared" si="60"/>
        <v>0</v>
      </c>
      <c r="AW66" s="304" t="e">
        <f t="shared" si="61"/>
        <v>#DIV/0!</v>
      </c>
      <c r="AX66" s="206"/>
      <c r="AY66" s="206"/>
      <c r="AZ66" s="206">
        <f t="shared" si="62"/>
        <v>0</v>
      </c>
      <c r="BA66" s="206">
        <f t="shared" si="63"/>
        <v>0</v>
      </c>
      <c r="BB66" s="206">
        <f t="shared" si="64"/>
        <v>0</v>
      </c>
      <c r="BC66" s="304" t="e">
        <f t="shared" si="65"/>
        <v>#DIV/0!</v>
      </c>
      <c r="BD66" s="306"/>
      <c r="BE66" s="199"/>
      <c r="BI66" s="200"/>
      <c r="BJ66" s="206">
        <f t="shared" si="72"/>
        <v>0</v>
      </c>
      <c r="BK66" s="200">
        <f t="shared" si="73"/>
        <v>0</v>
      </c>
      <c r="BL66" s="307">
        <f>'FY 2016 by Agency'!BB67*Inflator!$E$13</f>
        <v>0</v>
      </c>
      <c r="BM66" s="204">
        <f t="shared" si="74"/>
        <v>0</v>
      </c>
      <c r="BN66" s="199" t="e">
        <f t="shared" si="75"/>
        <v>#DIV/0!</v>
      </c>
      <c r="BO66" s="204">
        <f>'FY 2016 by Agency'!AX67*Inflator!$E$13</f>
        <v>0</v>
      </c>
      <c r="BP66" s="204">
        <f t="shared" si="32"/>
        <v>0</v>
      </c>
      <c r="BQ66" s="199" t="e">
        <f t="shared" si="33"/>
        <v>#DIV/0!</v>
      </c>
      <c r="BR66" s="204">
        <f>'FY 2016 by Agency'!BE67*Inflator!$E$14</f>
        <v>0</v>
      </c>
      <c r="BS66" s="204">
        <f t="shared" si="34"/>
        <v>0</v>
      </c>
      <c r="BT66" s="199" t="e">
        <f t="shared" si="35"/>
        <v>#DIV/0!</v>
      </c>
      <c r="BU66" s="204">
        <f>'FY 2016 by Agency'!BL67*Inflator!$E$14</f>
        <v>0</v>
      </c>
      <c r="BV66" s="204">
        <f t="shared" si="76"/>
        <v>0</v>
      </c>
      <c r="BW66" s="206"/>
      <c r="BX66" s="206">
        <f>'FY 2016 by Agency'!BW67*Inflator!E15</f>
        <v>0</v>
      </c>
      <c r="BY66" s="204">
        <f>'FY 2016 by Agency'!BZ67*Inflator!$E$15</f>
        <v>0</v>
      </c>
      <c r="BZ66" s="206">
        <f t="shared" si="37"/>
        <v>0</v>
      </c>
      <c r="CA66" s="199" t="e">
        <f t="shared" si="38"/>
        <v>#DIV/0!</v>
      </c>
      <c r="CB66" s="308">
        <f>'FY 2016 by Agency'!CF67*Inflator!$E$16</f>
        <v>0</v>
      </c>
      <c r="CC66" s="206">
        <f t="shared" si="67"/>
        <v>0</v>
      </c>
      <c r="CD66" s="304" t="e">
        <f t="shared" si="68"/>
        <v>#DIV/0!</v>
      </c>
      <c r="CE66" s="206">
        <f>'FY 2016 by Agency'!CK67*Inflator!$E$17</f>
        <v>0</v>
      </c>
      <c r="CF66" s="206">
        <f t="shared" si="77"/>
        <v>0</v>
      </c>
      <c r="CG66" s="562" t="e">
        <f t="shared" si="78"/>
        <v>#DIV/0!</v>
      </c>
      <c r="CH66" s="206">
        <f>'FY 2016 by Agency'!CN67*Inflator!$E$18</f>
        <v>0</v>
      </c>
      <c r="CI66" s="753">
        <f t="shared" si="79"/>
        <v>0</v>
      </c>
      <c r="CJ66" s="66" t="e">
        <f t="shared" si="80"/>
        <v>#DIV/0!</v>
      </c>
    </row>
    <row r="67" spans="1:88" ht="18" customHeight="1" x14ac:dyDescent="0.25">
      <c r="A67" s="312" t="s">
        <v>183</v>
      </c>
      <c r="B67" s="302">
        <f>'FY 2016 by Agency'!B68*Inflator!$E$2</f>
        <v>366.33373205741628</v>
      </c>
      <c r="C67" s="302">
        <f>'FY 2016 by Agency'!C68*Inflator!$E$3</f>
        <v>393.99111282843899</v>
      </c>
      <c r="D67" s="302">
        <f t="shared" si="6"/>
        <v>27.657380771022702</v>
      </c>
      <c r="E67" s="303">
        <f t="shared" si="7"/>
        <v>7.5497772524775034E-2</v>
      </c>
      <c r="F67" s="204">
        <f>'FY 2016 by Agency'!F68*Inflator!$E$4</f>
        <v>375.79824895317853</v>
      </c>
      <c r="G67" s="204">
        <f t="shared" si="8"/>
        <v>-18.192863875260457</v>
      </c>
      <c r="H67" s="199">
        <f t="shared" si="9"/>
        <v>-4.6175822963759154E-2</v>
      </c>
      <c r="I67" s="204">
        <f>'FY 2016 by Agency'!I68*Inflator!$E$5</f>
        <v>376.51283004834517</v>
      </c>
      <c r="J67" s="204">
        <f t="shared" si="10"/>
        <v>0.71458109516663626</v>
      </c>
      <c r="K67" s="199">
        <f t="shared" si="11"/>
        <v>1.9015019286470049E-3</v>
      </c>
      <c r="L67" s="204">
        <f>'FY 2016 by Agency'!L68*Inflator!$E$6</f>
        <v>440.06106870229007</v>
      </c>
      <c r="M67" s="204">
        <f t="shared" si="12"/>
        <v>63.548238653944907</v>
      </c>
      <c r="N67" s="199">
        <f t="shared" si="13"/>
        <v>0.16878107087555333</v>
      </c>
      <c r="O67" s="204">
        <f>'FY 2016 by Agency'!O68*Inflator!$E$7</f>
        <v>427.38859556494185</v>
      </c>
      <c r="P67" s="204">
        <f t="shared" si="69"/>
        <v>-12.67247313734822</v>
      </c>
      <c r="Q67" s="304">
        <f t="shared" si="49"/>
        <v>-2.8797078493488358E-2</v>
      </c>
      <c r="R67" s="204">
        <f>'FY 2016 by Agency'!R68*Inflator!$E$8</f>
        <v>498.98981670061102</v>
      </c>
      <c r="S67" s="204">
        <f t="shared" si="50"/>
        <v>71.601221135669164</v>
      </c>
      <c r="T67" s="304">
        <f t="shared" si="51"/>
        <v>0.16753189457716669</v>
      </c>
      <c r="U67" s="204">
        <f>'FY 2016 by Agency'!U68*Inflator!$E$9</f>
        <v>620.01226790450926</v>
      </c>
      <c r="V67" s="204">
        <f t="shared" si="70"/>
        <v>121.02245120389824</v>
      </c>
      <c r="W67" s="304">
        <f t="shared" si="71"/>
        <v>0.24253491184272108</v>
      </c>
      <c r="X67" s="204">
        <f>'FY 2016 by Agency'!X68*Inflator!$E$10</f>
        <v>792.91171800571612</v>
      </c>
      <c r="Y67" s="206">
        <f t="shared" si="52"/>
        <v>172.89945010120687</v>
      </c>
      <c r="Z67" s="304">
        <f>Y67/U67</f>
        <v>0.27886456293125456</v>
      </c>
      <c r="AA67" s="204">
        <f>'FY 2016 by Agency'!AA68*Inflator!$E$11</f>
        <v>812.65498566422434</v>
      </c>
      <c r="AB67" s="206">
        <f t="shared" si="54"/>
        <v>19.743267658508216</v>
      </c>
      <c r="AC67" s="304">
        <f>AB67/X67</f>
        <v>2.4899704734046933E-2</v>
      </c>
      <c r="AD67" s="204" t="e">
        <f>'FY 2016 by Agency'!AD68*Inflator!#REF!</f>
        <v>#REF!</v>
      </c>
      <c r="AE67" s="204">
        <f>'FY 2016 by Agency'!AE68*Inflator!$B$8</f>
        <v>0</v>
      </c>
      <c r="AF67" s="204">
        <f>'FY 2016 by Agency'!AF68*Inflator!$E$12</f>
        <v>728.04981203007526</v>
      </c>
      <c r="AG67" s="204">
        <f t="shared" si="56"/>
        <v>-84.605173634149082</v>
      </c>
      <c r="AH67" s="304">
        <f t="shared" si="57"/>
        <v>-0.10410958540418842</v>
      </c>
      <c r="AI67" s="204">
        <f>'FY 2016 by Agency'!AI68*Inflator!$B$8</f>
        <v>0</v>
      </c>
      <c r="AJ67" s="204">
        <f>'FY 2016 by Agency'!AJ68*Inflator!$B$8</f>
        <v>0</v>
      </c>
      <c r="AK67" s="204">
        <f>'FY 2016 by Agency'!AK68</f>
        <v>716</v>
      </c>
      <c r="AL67" s="204">
        <f>'FY 2016 by Agency'!AL68</f>
        <v>0</v>
      </c>
      <c r="AM67" s="204">
        <f>'FY 2016 by Agency'!AM68</f>
        <v>716</v>
      </c>
      <c r="AN67" s="204">
        <f>'FY 2016 by Agency'!AN68</f>
        <v>734</v>
      </c>
      <c r="AO67" s="204">
        <f>'FY 2016 by Agency'!AO68</f>
        <v>734</v>
      </c>
      <c r="AP67" s="204">
        <f>'FY 2016 by Agency'!AP68</f>
        <v>47</v>
      </c>
      <c r="AQ67" s="204">
        <f>'FY 2016 by Agency'!AQ68</f>
        <v>0</v>
      </c>
      <c r="AR67" s="204">
        <f>'FY 2016 by Agency'!AR68</f>
        <v>47</v>
      </c>
      <c r="AS67" s="204">
        <f>'FY 2016 by Agency'!AS68</f>
        <v>1109.6933300000001</v>
      </c>
      <c r="AT67" s="204" t="e">
        <f t="shared" si="58"/>
        <v>#REF!</v>
      </c>
      <c r="AU67" s="304" t="e">
        <f t="shared" si="59"/>
        <v>#REF!</v>
      </c>
      <c r="AV67" s="204">
        <f t="shared" si="60"/>
        <v>381.6435179699248</v>
      </c>
      <c r="AW67" s="304">
        <f t="shared" si="61"/>
        <v>0.52419973422664567</v>
      </c>
      <c r="AX67" s="206">
        <v>1310</v>
      </c>
      <c r="AY67" s="206">
        <v>1310</v>
      </c>
      <c r="AZ67" s="206">
        <f t="shared" si="62"/>
        <v>576</v>
      </c>
      <c r="BA67" s="206">
        <f t="shared" si="63"/>
        <v>957.6435179699248</v>
      </c>
      <c r="BB67" s="206">
        <f t="shared" si="64"/>
        <v>1685.6933300000001</v>
      </c>
      <c r="BC67" s="304">
        <f t="shared" si="65"/>
        <v>1.3153543921667343</v>
      </c>
      <c r="BD67" s="306">
        <v>0</v>
      </c>
      <c r="BE67" s="199">
        <f t="shared" si="66"/>
        <v>0</v>
      </c>
      <c r="BF67" s="66">
        <v>95</v>
      </c>
      <c r="BI67" s="200">
        <v>1254</v>
      </c>
      <c r="BJ67" s="206">
        <f t="shared" si="72"/>
        <v>-56</v>
      </c>
      <c r="BK67" s="200">
        <f t="shared" si="73"/>
        <v>1301</v>
      </c>
      <c r="BL67" s="307">
        <f>'FY 2016 by Agency'!BB68*Inflator!$E$13</f>
        <v>1168.4113725938359</v>
      </c>
      <c r="BM67" s="204">
        <f t="shared" si="74"/>
        <v>440.36156056376069</v>
      </c>
      <c r="BN67" s="199">
        <f t="shared" si="75"/>
        <v>0.60485086773921126</v>
      </c>
      <c r="BO67" s="204">
        <f>'FY 2016 by Agency'!AX68*Inflator!$E$13</f>
        <v>1378.7494659749771</v>
      </c>
      <c r="BP67" s="204">
        <f t="shared" si="32"/>
        <v>650.6996539449018</v>
      </c>
      <c r="BQ67" s="199">
        <f t="shared" si="33"/>
        <v>0.89375705232380698</v>
      </c>
      <c r="BR67" s="204">
        <f>'FY 2016 by Agency'!BE68*Inflator!$E$14</f>
        <v>952.28277711561373</v>
      </c>
      <c r="BS67" s="204">
        <f t="shared" si="34"/>
        <v>-426.46668885936333</v>
      </c>
      <c r="BT67" s="199">
        <f t="shared" si="35"/>
        <v>-0.3093141280441325</v>
      </c>
      <c r="BU67" s="204">
        <f>'FY 2016 by Agency'!BL68*Inflator!$E$14</f>
        <v>996.30035756853385</v>
      </c>
      <c r="BV67" s="204">
        <f t="shared" si="76"/>
        <v>-172.11101502530209</v>
      </c>
      <c r="BW67" s="309">
        <v>1663</v>
      </c>
      <c r="BX67" s="309">
        <f>'FY 2016 by Agency'!BW68*Inflator!E15</f>
        <v>1829.4916446789796</v>
      </c>
      <c r="BY67" s="204">
        <f>'FY 2016 by Agency'!BZ68*Inflator!$E$15</f>
        <v>1326.6983289357959</v>
      </c>
      <c r="BZ67" s="206">
        <f t="shared" si="37"/>
        <v>710.71722288438627</v>
      </c>
      <c r="CA67" s="199">
        <f t="shared" si="38"/>
        <v>0.74633001873360594</v>
      </c>
      <c r="CB67" s="308">
        <f>'FY 2016 by Agency'!CF68*Inflator!$E$16</f>
        <v>1480.5281547790933</v>
      </c>
      <c r="CC67" s="206">
        <f t="shared" si="67"/>
        <v>153.82982584329739</v>
      </c>
      <c r="CD67" s="304">
        <f t="shared" si="68"/>
        <v>0.11594936278143289</v>
      </c>
      <c r="CE67" s="206">
        <f>'FY 2016 by Agency'!CK68*Inflator!$E$17</f>
        <v>1785.6749787475208</v>
      </c>
      <c r="CF67" s="206">
        <f t="shared" si="77"/>
        <v>305.1468239684275</v>
      </c>
      <c r="CG67" s="562">
        <f t="shared" si="78"/>
        <v>0.20610673494011186</v>
      </c>
      <c r="CH67" s="206">
        <f>'FY 2016 by Agency'!CN68*Inflator!$E$18</f>
        <v>1636</v>
      </c>
      <c r="CI67" s="753">
        <f t="shared" si="79"/>
        <v>-149.67497874752075</v>
      </c>
      <c r="CJ67" s="66">
        <f t="shared" si="80"/>
        <v>-8.3819833132512928E-2</v>
      </c>
    </row>
    <row r="68" spans="1:88" ht="18" customHeight="1" x14ac:dyDescent="0.25">
      <c r="A68" s="68" t="s">
        <v>184</v>
      </c>
      <c r="B68" s="302">
        <f>'FY 2016 by Agency'!B69*Inflator!$E$2</f>
        <v>37781.218899521533</v>
      </c>
      <c r="C68" s="302">
        <f>'FY 2016 by Agency'!C69*Inflator!$E$3</f>
        <v>34809.045208655334</v>
      </c>
      <c r="D68" s="302">
        <f t="shared" si="6"/>
        <v>-2972.1736908661987</v>
      </c>
      <c r="E68" s="303">
        <f t="shared" si="7"/>
        <v>-7.8668020181419787E-2</v>
      </c>
      <c r="F68" s="204">
        <f>'FY 2016 by Agency'!F69*Inflator!$E$4</f>
        <v>37230.085649029315</v>
      </c>
      <c r="G68" s="204">
        <f t="shared" si="8"/>
        <v>2421.0404403739813</v>
      </c>
      <c r="H68" s="199">
        <f t="shared" si="9"/>
        <v>6.955204964288951E-2</v>
      </c>
      <c r="I68" s="204">
        <f>'FY 2016 by Agency'!I69*Inflator!$E$5</f>
        <v>39801.827817032354</v>
      </c>
      <c r="J68" s="204">
        <f t="shared" si="10"/>
        <v>2571.7421680030384</v>
      </c>
      <c r="K68" s="199">
        <f t="shared" si="11"/>
        <v>6.9076987688049818E-2</v>
      </c>
      <c r="L68" s="204">
        <f>'FY 2016 by Agency'!L69*Inflator!$E$6</f>
        <v>40281.304252998911</v>
      </c>
      <c r="M68" s="204">
        <f t="shared" si="12"/>
        <v>479.47643596655689</v>
      </c>
      <c r="N68" s="199">
        <f t="shared" si="13"/>
        <v>1.2046593391908878E-2</v>
      </c>
      <c r="O68" s="204">
        <f>'FY 2016 by Agency'!O69*Inflator!$E$7</f>
        <v>44313.983104540646</v>
      </c>
      <c r="P68" s="315">
        <f t="shared" si="69"/>
        <v>4032.6788515417356</v>
      </c>
      <c r="Q68" s="304">
        <f t="shared" si="49"/>
        <v>0.10011291655834371</v>
      </c>
      <c r="R68" s="204">
        <f>'FY 2016 by Agency'!R69*Inflator!$E$8</f>
        <v>50774.659877800412</v>
      </c>
      <c r="S68" s="204">
        <f t="shared" si="50"/>
        <v>6460.6767732597655</v>
      </c>
      <c r="T68" s="304">
        <f t="shared" si="51"/>
        <v>0.14579318582169543</v>
      </c>
      <c r="U68" s="204">
        <f>'FY 2016 by Agency'!U69*Inflator!$E$9</f>
        <v>49804.068302387263</v>
      </c>
      <c r="V68" s="204">
        <f t="shared" si="70"/>
        <v>-970.59157541314926</v>
      </c>
      <c r="W68" s="304">
        <f t="shared" si="71"/>
        <v>-1.911566867703449E-2</v>
      </c>
      <c r="X68" s="204">
        <f>'FY 2016 by Agency'!X69*Inflator!$E$10</f>
        <v>42786.340107970791</v>
      </c>
      <c r="Y68" s="206">
        <f t="shared" si="52"/>
        <v>-7017.7281944164715</v>
      </c>
      <c r="Z68" s="304">
        <f>Y68/U68</f>
        <v>-0.14090672576802507</v>
      </c>
      <c r="AA68" s="204">
        <f>'FY 2016 by Agency'!AA69*Inflator!$E$11</f>
        <v>42398.093023255817</v>
      </c>
      <c r="AB68" s="206">
        <f t="shared" si="54"/>
        <v>-388.24708471497433</v>
      </c>
      <c r="AC68" s="304">
        <f>AB68/X68</f>
        <v>-9.0740896214828778E-3</v>
      </c>
      <c r="AD68" s="204" t="e">
        <f>'FY 2016 by Agency'!AD69*Inflator!#REF!</f>
        <v>#REF!</v>
      </c>
      <c r="AE68" s="204">
        <f>'FY 2016 by Agency'!AE69*Inflator!$B$8</f>
        <v>0</v>
      </c>
      <c r="AF68" s="204">
        <f>'FY 2016 by Agency'!AF69*Inflator!$E$12</f>
        <v>36403.619360902259</v>
      </c>
      <c r="AG68" s="204">
        <f t="shared" si="56"/>
        <v>-5994.4736623535573</v>
      </c>
      <c r="AH68" s="304">
        <f t="shared" si="57"/>
        <v>-0.14138545474357828</v>
      </c>
      <c r="AI68" s="204">
        <f>'FY 2016 by Agency'!AI69*Inflator!$B$8</f>
        <v>0</v>
      </c>
      <c r="AJ68" s="204">
        <f>'FY 2016 by Agency'!AJ69*Inflator!$B$8</f>
        <v>0</v>
      </c>
      <c r="AK68" s="204">
        <f>'FY 2016 by Agency'!AK69</f>
        <v>13821</v>
      </c>
      <c r="AL68" s="204">
        <f>'FY 2016 by Agency'!AL69</f>
        <v>0</v>
      </c>
      <c r="AM68" s="204">
        <f>'FY 2016 by Agency'!AM69</f>
        <v>13821</v>
      </c>
      <c r="AN68" s="204">
        <f>'FY 2016 by Agency'!AN69</f>
        <v>8061</v>
      </c>
      <c r="AO68" s="204">
        <f>'FY 2016 by Agency'!AO69</f>
        <v>25592</v>
      </c>
      <c r="AP68" s="204">
        <f>'FY 2016 by Agency'!AP69</f>
        <v>6036</v>
      </c>
      <c r="AQ68" s="204">
        <f>'FY 2016 by Agency'!AQ69</f>
        <v>402</v>
      </c>
      <c r="AR68" s="204">
        <f>'FY 2016 by Agency'!AR69</f>
        <v>6438</v>
      </c>
      <c r="AS68" s="204">
        <f>'FY 2016 by Agency'!AS69</f>
        <v>28136.326290000001</v>
      </c>
      <c r="AT68" s="204" t="e">
        <f t="shared" si="58"/>
        <v>#REF!</v>
      </c>
      <c r="AU68" s="304" t="e">
        <f t="shared" si="59"/>
        <v>#REF!</v>
      </c>
      <c r="AV68" s="204">
        <f t="shared" si="60"/>
        <v>-8267.2930709022585</v>
      </c>
      <c r="AW68" s="304">
        <f t="shared" si="61"/>
        <v>-0.2271008546963709</v>
      </c>
      <c r="AX68" s="206">
        <f>8203+17531</f>
        <v>25734</v>
      </c>
      <c r="AY68" s="206">
        <f>8203+17531</f>
        <v>25734</v>
      </c>
      <c r="AZ68" s="206">
        <f t="shared" si="62"/>
        <v>142</v>
      </c>
      <c r="BA68" s="206">
        <f t="shared" si="63"/>
        <v>-8125.2930709022585</v>
      </c>
      <c r="BB68" s="206">
        <f t="shared" si="64"/>
        <v>28278.326290000001</v>
      </c>
      <c r="BC68" s="304">
        <f t="shared" si="65"/>
        <v>-0.22320014365464114</v>
      </c>
      <c r="BD68" s="306">
        <v>70.314999999999998</v>
      </c>
      <c r="BE68" s="199">
        <f t="shared" si="66"/>
        <v>2.7323773995492342E-3</v>
      </c>
      <c r="BF68" s="66">
        <v>210</v>
      </c>
      <c r="BH68" s="66">
        <v>562</v>
      </c>
      <c r="BI68" s="200">
        <v>24715</v>
      </c>
      <c r="BJ68" s="206">
        <f t="shared" si="72"/>
        <v>-1019</v>
      </c>
      <c r="BK68" s="200">
        <f t="shared" si="73"/>
        <v>31153</v>
      </c>
      <c r="BL68" s="307">
        <f>'FY 2016 by Agency'!BB69*Inflator!$E$13</f>
        <v>23856.902539783339</v>
      </c>
      <c r="BM68" s="204">
        <f t="shared" si="74"/>
        <v>-12546.71682111892</v>
      </c>
      <c r="BN68" s="199">
        <f t="shared" si="75"/>
        <v>-0.34465575240560231</v>
      </c>
      <c r="BO68" s="204">
        <f>'FY 2016 by Agency'!AX69*Inflator!$E$13</f>
        <v>27173.6786695148</v>
      </c>
      <c r="BP68" s="204">
        <f t="shared" si="32"/>
        <v>-9229.9406913874591</v>
      </c>
      <c r="BQ68" s="199">
        <f t="shared" si="33"/>
        <v>-0.25354458851694511</v>
      </c>
      <c r="BR68" s="204">
        <f>'FY 2016 by Agency'!BE69*Inflator!$E$14</f>
        <v>26310.703516090583</v>
      </c>
      <c r="BS68" s="204">
        <f t="shared" si="34"/>
        <v>-862.97515342421684</v>
      </c>
      <c r="BT68" s="199">
        <f t="shared" si="35"/>
        <v>-3.175775955547596E-2</v>
      </c>
      <c r="BU68" s="204">
        <f>'FY 2016 by Agency'!BL69*Inflator!$E$14</f>
        <v>33863.47616209773</v>
      </c>
      <c r="BV68" s="204">
        <f t="shared" si="76"/>
        <v>10006.57362231439</v>
      </c>
      <c r="BW68" s="309">
        <v>33149</v>
      </c>
      <c r="BX68" s="206">
        <f>'FY 2016 by Agency'!BW69*Inflator!E15</f>
        <v>42347.661389621811</v>
      </c>
      <c r="BY68" s="204">
        <f>'FY 2016 by Agency'!BZ69*Inflator!$E$15</f>
        <v>31974.908531222514</v>
      </c>
      <c r="BZ68" s="206">
        <f t="shared" si="37"/>
        <v>6838.2964839094166</v>
      </c>
      <c r="CA68" s="199">
        <f t="shared" si="38"/>
        <v>0.25990549738540381</v>
      </c>
      <c r="CB68" s="308">
        <f>'FY 2016 by Agency'!CF69*Inflator!$E$16</f>
        <v>36300.511117528149</v>
      </c>
      <c r="CC68" s="206">
        <f t="shared" si="67"/>
        <v>4325.6025863056348</v>
      </c>
      <c r="CD68" s="304">
        <f t="shared" si="68"/>
        <v>0.13528115591266873</v>
      </c>
      <c r="CE68" s="206">
        <f>'FY 2016 by Agency'!CK69*Inflator!$E$17</f>
        <v>48701.247662227266</v>
      </c>
      <c r="CF68" s="206">
        <f t="shared" si="77"/>
        <v>12400.736544699117</v>
      </c>
      <c r="CG68" s="562">
        <f t="shared" si="78"/>
        <v>0.34161327658858415</v>
      </c>
      <c r="CH68" s="206">
        <f>'FY 2016 by Agency'!CN69*Inflator!$E$18</f>
        <v>43764</v>
      </c>
      <c r="CI68" s="753">
        <f t="shared" si="79"/>
        <v>-4937.2476622272661</v>
      </c>
      <c r="CJ68" s="66">
        <f t="shared" si="80"/>
        <v>-0.10137825824237764</v>
      </c>
    </row>
    <row r="69" spans="1:88" ht="18" customHeight="1" x14ac:dyDescent="0.25">
      <c r="A69" s="68" t="s">
        <v>185</v>
      </c>
      <c r="B69" s="310" t="s">
        <v>132</v>
      </c>
      <c r="C69" s="310" t="s">
        <v>132</v>
      </c>
      <c r="D69" s="310" t="s">
        <v>132</v>
      </c>
      <c r="E69" s="310" t="s">
        <v>132</v>
      </c>
      <c r="F69" s="310" t="s">
        <v>132</v>
      </c>
      <c r="G69" s="310" t="s">
        <v>132</v>
      </c>
      <c r="H69" s="310" t="s">
        <v>132</v>
      </c>
      <c r="I69" s="310" t="s">
        <v>132</v>
      </c>
      <c r="J69" s="310" t="s">
        <v>132</v>
      </c>
      <c r="K69" s="310" t="s">
        <v>132</v>
      </c>
      <c r="L69" s="204">
        <f>'FY 2016 by Agency'!L70*Inflator!$E$6</f>
        <v>0</v>
      </c>
      <c r="M69" s="310" t="s">
        <v>132</v>
      </c>
      <c r="N69" s="310" t="s">
        <v>132</v>
      </c>
      <c r="O69" s="204">
        <f>'FY 2016 by Agency'!O70*Inflator!$E$7</f>
        <v>0</v>
      </c>
      <c r="P69" s="315">
        <f t="shared" si="69"/>
        <v>0</v>
      </c>
      <c r="Q69" s="394" t="s">
        <v>132</v>
      </c>
      <c r="R69" s="204">
        <f>'FY 2016 by Agency'!R70*Inflator!$E$8</f>
        <v>0</v>
      </c>
      <c r="S69" s="204">
        <f t="shared" si="50"/>
        <v>0</v>
      </c>
      <c r="T69" s="394" t="s">
        <v>132</v>
      </c>
      <c r="U69" s="204">
        <f>'FY 2016 by Agency'!U70*Inflator!$E$9</f>
        <v>0</v>
      </c>
      <c r="V69" s="204">
        <f t="shared" si="70"/>
        <v>0</v>
      </c>
      <c r="W69" s="394" t="s">
        <v>132</v>
      </c>
      <c r="X69" s="204">
        <f>'FY 2016 by Agency'!X70*Inflator!$E$10</f>
        <v>1742.5751032073676</v>
      </c>
      <c r="Y69" s="206">
        <f t="shared" si="52"/>
        <v>1742.5751032073676</v>
      </c>
      <c r="Z69" s="311" t="s">
        <v>405</v>
      </c>
      <c r="AA69" s="204">
        <f>'FY 2016 by Agency'!AA70*Inflator!$E$11</f>
        <v>2903.9789741956042</v>
      </c>
      <c r="AB69" s="206">
        <f t="shared" si="54"/>
        <v>1161.4038709882366</v>
      </c>
      <c r="AC69" s="304">
        <f>AB69/X69</f>
        <v>0.6664871252037099</v>
      </c>
      <c r="AD69" s="204" t="e">
        <f>'FY 2016 by Agency'!AD70*Inflator!#REF!</f>
        <v>#REF!</v>
      </c>
      <c r="AE69" s="204">
        <f>'FY 2016 by Agency'!AE70*Inflator!$B$8</f>
        <v>0</v>
      </c>
      <c r="AF69" s="204">
        <f>'FY 2016 by Agency'!AF70*Inflator!$E$12</f>
        <v>2617.5930451127824</v>
      </c>
      <c r="AG69" s="204">
        <f t="shared" si="56"/>
        <v>-286.3859290828218</v>
      </c>
      <c r="AH69" s="304">
        <f t="shared" si="57"/>
        <v>-9.8618458200838061E-2</v>
      </c>
      <c r="AI69" s="204">
        <f>'FY 2016 by Agency'!AI70*Inflator!$B$8</f>
        <v>0</v>
      </c>
      <c r="AJ69" s="204">
        <f>'FY 2016 by Agency'!AJ70*Inflator!$B$8</f>
        <v>0</v>
      </c>
      <c r="AK69" s="204">
        <f>'FY 2016 by Agency'!AK70</f>
        <v>815</v>
      </c>
      <c r="AL69" s="204">
        <f>'FY 2016 by Agency'!AL70</f>
        <v>0</v>
      </c>
      <c r="AM69" s="204">
        <f>'FY 2016 by Agency'!AM70</f>
        <v>815</v>
      </c>
      <c r="AN69" s="204">
        <f>'FY 2016 by Agency'!AN70</f>
        <v>0</v>
      </c>
      <c r="AO69" s="204">
        <f>'FY 2016 by Agency'!AO70</f>
        <v>1570</v>
      </c>
      <c r="AP69" s="204">
        <f>'FY 2016 by Agency'!AP70</f>
        <v>0</v>
      </c>
      <c r="AQ69" s="204">
        <f>'FY 2016 by Agency'!AQ70</f>
        <v>0</v>
      </c>
      <c r="AR69" s="204">
        <f>'FY 2016 by Agency'!AR70</f>
        <v>0</v>
      </c>
      <c r="AS69" s="204">
        <f>'FY 2016 by Agency'!AS70</f>
        <v>1755.4464200000002</v>
      </c>
      <c r="AT69" s="204" t="e">
        <f t="shared" si="58"/>
        <v>#REF!</v>
      </c>
      <c r="AU69" s="304" t="e">
        <f t="shared" si="59"/>
        <v>#REF!</v>
      </c>
      <c r="AV69" s="204">
        <f t="shared" si="60"/>
        <v>-862.1466251127822</v>
      </c>
      <c r="AW69" s="304">
        <f t="shared" si="61"/>
        <v>-0.32936618116497002</v>
      </c>
      <c r="AX69" s="206">
        <f>654+1570</f>
        <v>2224</v>
      </c>
      <c r="AY69" s="206">
        <f>654+1570</f>
        <v>2224</v>
      </c>
      <c r="AZ69" s="206">
        <f t="shared" si="62"/>
        <v>654</v>
      </c>
      <c r="BA69" s="206">
        <f t="shared" si="63"/>
        <v>-208.1466251127822</v>
      </c>
      <c r="BB69" s="206">
        <f t="shared" si="64"/>
        <v>2409.4464200000002</v>
      </c>
      <c r="BC69" s="304">
        <f t="shared" si="65"/>
        <v>-7.9518329062420734E-2</v>
      </c>
      <c r="BD69" s="306">
        <v>0</v>
      </c>
      <c r="BE69" s="199">
        <f t="shared" si="66"/>
        <v>0</v>
      </c>
      <c r="BH69" s="66">
        <v>386</v>
      </c>
      <c r="BI69" s="200">
        <v>1816</v>
      </c>
      <c r="BJ69" s="206">
        <f t="shared" si="72"/>
        <v>-408</v>
      </c>
      <c r="BK69" s="200">
        <f t="shared" si="73"/>
        <v>1816</v>
      </c>
      <c r="BL69" s="307">
        <f>'FY 2016 by Agency'!BB70*Inflator!$E$13</f>
        <v>1930.0803940372293</v>
      </c>
      <c r="BM69" s="204">
        <f t="shared" si="74"/>
        <v>-687.51265107555309</v>
      </c>
      <c r="BN69" s="199">
        <f t="shared" si="75"/>
        <v>-0.26265070208647756</v>
      </c>
      <c r="BO69" s="204">
        <f>'FY 2016 by Agency'!AX70*Inflator!$E$13</f>
        <v>1996.6579188281964</v>
      </c>
      <c r="BP69" s="204">
        <f t="shared" si="32"/>
        <v>-620.93512628458598</v>
      </c>
      <c r="BQ69" s="199">
        <f t="shared" si="33"/>
        <v>-0.23721606666242964</v>
      </c>
      <c r="BR69" s="204">
        <f>'FY 2016 by Agency'!BE70*Inflator!$E$14</f>
        <v>2092.4454707985697</v>
      </c>
      <c r="BS69" s="204">
        <f t="shared" si="34"/>
        <v>95.787551970373215</v>
      </c>
      <c r="BT69" s="199">
        <f t="shared" si="35"/>
        <v>4.7973942389985987E-2</v>
      </c>
      <c r="BU69" s="204">
        <f>'FY 2016 by Agency'!BL70*Inflator!$E$14</f>
        <v>2120.3590584028602</v>
      </c>
      <c r="BV69" s="204">
        <f t="shared" si="76"/>
        <v>190.2786643656309</v>
      </c>
      <c r="BW69" s="206">
        <v>1961</v>
      </c>
      <c r="BX69" s="206">
        <f>'FY 2016 by Agency'!BW70*Inflator!E15</f>
        <v>2235.1064204045733</v>
      </c>
      <c r="BY69" s="204">
        <f>'FY 2016 by Agency'!BZ70*Inflator!$E$15</f>
        <v>2135.815303430079</v>
      </c>
      <c r="BZ69" s="206">
        <f t="shared" si="37"/>
        <v>-131.44547079856966</v>
      </c>
      <c r="CA69" s="199">
        <f t="shared" si="38"/>
        <v>-6.281906631880077E-2</v>
      </c>
      <c r="CB69" s="308">
        <f>'FY 2016 by Agency'!CF70*Inflator!$E$16</f>
        <v>2357.6084319953798</v>
      </c>
      <c r="CC69" s="206">
        <f t="shared" si="67"/>
        <v>221.79312856530078</v>
      </c>
      <c r="CD69" s="304">
        <f t="shared" si="68"/>
        <v>0.10384471363657016</v>
      </c>
      <c r="CE69" s="206">
        <f>'FY 2016 by Agency'!CK70*Inflator!$E$17</f>
        <v>2540.171153301219</v>
      </c>
      <c r="CF69" s="206">
        <f t="shared" si="77"/>
        <v>182.5627213058392</v>
      </c>
      <c r="CG69" s="562">
        <f t="shared" si="78"/>
        <v>7.7435556654896195E-2</v>
      </c>
      <c r="CH69" s="206">
        <f>'FY 2016 by Agency'!CN70*Inflator!$E$18</f>
        <v>2585</v>
      </c>
      <c r="CI69" s="753">
        <f t="shared" si="79"/>
        <v>44.828846698781035</v>
      </c>
      <c r="CJ69" s="66">
        <f t="shared" si="80"/>
        <v>1.764796306757568E-2</v>
      </c>
    </row>
    <row r="70" spans="1:88" ht="18" customHeight="1" x14ac:dyDescent="0.25">
      <c r="A70" s="317" t="s">
        <v>406</v>
      </c>
      <c r="B70" s="310" t="s">
        <v>132</v>
      </c>
      <c r="C70" s="310" t="s">
        <v>132</v>
      </c>
      <c r="D70" s="310" t="s">
        <v>132</v>
      </c>
      <c r="E70" s="310" t="s">
        <v>132</v>
      </c>
      <c r="F70" s="204">
        <f>'FY 2016 by Agency'!F71*Inflator!$E$4</f>
        <v>2380.969927674153</v>
      </c>
      <c r="G70" s="310" t="s">
        <v>132</v>
      </c>
      <c r="H70" s="310" t="s">
        <v>132</v>
      </c>
      <c r="I70" s="204">
        <f>'FY 2016 by Agency'!I71*Inflator!$E$5</f>
        <v>2265.7764968389738</v>
      </c>
      <c r="J70" s="204">
        <f t="shared" si="10"/>
        <v>-115.19343083517924</v>
      </c>
      <c r="K70" s="199">
        <f t="shared" si="11"/>
        <v>-4.8380884401889854E-2</v>
      </c>
      <c r="L70" s="204">
        <f>'FY 2016 by Agency'!L71*Inflator!$E$6</f>
        <v>3088.2857142857142</v>
      </c>
      <c r="M70" s="204">
        <f t="shared" si="12"/>
        <v>822.50921744674042</v>
      </c>
      <c r="N70" s="199">
        <f t="shared" si="13"/>
        <v>0.36301427726619906</v>
      </c>
      <c r="O70" s="204">
        <f>'FY 2016 by Agency'!O71*Inflator!$E$7</f>
        <v>5244.0707497360081</v>
      </c>
      <c r="P70" s="315">
        <f t="shared" si="69"/>
        <v>2155.7850354502939</v>
      </c>
      <c r="Q70" s="304">
        <f t="shared" si="49"/>
        <v>0.69805232899213887</v>
      </c>
      <c r="R70" s="204">
        <f>'FY 2016 by Agency'!R71*Inflator!$E$8</f>
        <v>10511.807535641548</v>
      </c>
      <c r="S70" s="315">
        <f t="shared" si="50"/>
        <v>5267.7367859055403</v>
      </c>
      <c r="T70" s="304">
        <f t="shared" si="51"/>
        <v>1.0045129132116921</v>
      </c>
      <c r="U70" s="204">
        <f>'FY 2016 by Agency'!U71*Inflator!$E$9</f>
        <v>11984.514588859414</v>
      </c>
      <c r="V70" s="204">
        <f t="shared" si="70"/>
        <v>1472.7070532178659</v>
      </c>
      <c r="W70" s="304">
        <f t="shared" si="71"/>
        <v>0.14010026802949688</v>
      </c>
      <c r="X70" s="204">
        <f>'FY 2016 by Agency'!X71*Inflator!$E$10</f>
        <v>11329.598602731026</v>
      </c>
      <c r="Y70" s="206">
        <f t="shared" si="52"/>
        <v>-654.91598612838789</v>
      </c>
      <c r="Z70" s="304">
        <f>Y70/U70</f>
        <v>-5.4646851257303806E-2</v>
      </c>
      <c r="AA70" s="204">
        <f>'FY 2016 by Agency'!AA71*Inflator!$E$11</f>
        <v>15641.312838483596</v>
      </c>
      <c r="AB70" s="206">
        <f t="shared" si="54"/>
        <v>4311.7142357525699</v>
      </c>
      <c r="AC70" s="304">
        <f>AB70/X70</f>
        <v>0.38057078515678577</v>
      </c>
      <c r="AD70" s="204" t="e">
        <f>'FY 2016 by Agency'!AD71*Inflator!#REF!</f>
        <v>#REF!</v>
      </c>
      <c r="AE70" s="204">
        <f>'FY 2016 by Agency'!AE71*Inflator!$B$8</f>
        <v>0</v>
      </c>
      <c r="AF70" s="204">
        <f>'FY 2016 by Agency'!AF71*Inflator!$E$12</f>
        <v>5881.9652255639103</v>
      </c>
      <c r="AG70" s="204">
        <f t="shared" si="56"/>
        <v>-9759.3476129196861</v>
      </c>
      <c r="AH70" s="304">
        <f t="shared" si="57"/>
        <v>-0.62394683321645272</v>
      </c>
      <c r="AI70" s="204">
        <f>'FY 2016 by Agency'!AI71*Inflator!$B$8</f>
        <v>0</v>
      </c>
      <c r="AJ70" s="204">
        <f>'FY 2016 by Agency'!AJ71*Inflator!$B$8</f>
        <v>0</v>
      </c>
      <c r="AK70" s="204">
        <f>'FY 2016 by Agency'!AK71</f>
        <v>3485</v>
      </c>
      <c r="AL70" s="204">
        <f>'FY 2016 by Agency'!AL71</f>
        <v>2000</v>
      </c>
      <c r="AM70" s="204">
        <f>'FY 2016 by Agency'!AM71</f>
        <v>5485</v>
      </c>
      <c r="AN70" s="204">
        <f>'FY 2016 by Agency'!AN71</f>
        <v>4940</v>
      </c>
      <c r="AO70" s="204">
        <f>'FY 2016 by Agency'!AO71</f>
        <v>5111</v>
      </c>
      <c r="AP70" s="204">
        <f>'FY 2016 by Agency'!AP71</f>
        <v>210</v>
      </c>
      <c r="AQ70" s="204">
        <f>'FY 2016 by Agency'!AQ71</f>
        <v>3</v>
      </c>
      <c r="AR70" s="204">
        <f>'FY 2016 by Agency'!AR71</f>
        <v>213</v>
      </c>
      <c r="AS70" s="204">
        <f>'FY 2016 by Agency'!AS71</f>
        <v>4936.61481</v>
      </c>
      <c r="AT70" s="204" t="e">
        <f t="shared" si="58"/>
        <v>#REF!</v>
      </c>
      <c r="AU70" s="304" t="e">
        <f t="shared" si="59"/>
        <v>#REF!</v>
      </c>
      <c r="AV70" s="204">
        <f t="shared" si="60"/>
        <v>-945.35041556391025</v>
      </c>
      <c r="AW70" s="304">
        <f t="shared" si="61"/>
        <v>-0.1607201639777254</v>
      </c>
      <c r="AX70" s="206">
        <f>4940+170</f>
        <v>5110</v>
      </c>
      <c r="AY70" s="206">
        <f>4940+170</f>
        <v>5110</v>
      </c>
      <c r="AZ70" s="206">
        <f t="shared" si="62"/>
        <v>-1</v>
      </c>
      <c r="BA70" s="206">
        <f t="shared" si="63"/>
        <v>-946.35041556391025</v>
      </c>
      <c r="BB70" s="206">
        <f t="shared" si="64"/>
        <v>4935.61481</v>
      </c>
      <c r="BC70" s="304">
        <f t="shared" si="65"/>
        <v>-0.16089017518344517</v>
      </c>
      <c r="BD70" s="306">
        <v>444.42099999999999</v>
      </c>
      <c r="BE70" s="199">
        <f t="shared" si="66"/>
        <v>8.6970841487279849E-2</v>
      </c>
      <c r="BF70" s="66">
        <v>570</v>
      </c>
      <c r="BI70" s="200">
        <v>4532</v>
      </c>
      <c r="BJ70" s="206">
        <f t="shared" si="72"/>
        <v>-578</v>
      </c>
      <c r="BK70" s="200">
        <f t="shared" si="73"/>
        <v>4745</v>
      </c>
      <c r="BL70" s="307">
        <f>'FY 2016 by Agency'!BB71*Inflator!$E$13</f>
        <v>5193.5258347360386</v>
      </c>
      <c r="BM70" s="204">
        <f t="shared" si="74"/>
        <v>-688.43939082787165</v>
      </c>
      <c r="BN70" s="199">
        <f t="shared" si="75"/>
        <v>-0.11704241089964455</v>
      </c>
      <c r="BO70" s="204">
        <f>'FY 2016 by Agency'!AX71*Inflator!$E$13</f>
        <v>4982.8489472078118</v>
      </c>
      <c r="BP70" s="204">
        <f t="shared" si="32"/>
        <v>-899.11627835609852</v>
      </c>
      <c r="BQ70" s="199">
        <f t="shared" si="33"/>
        <v>-0.15285984256561111</v>
      </c>
      <c r="BR70" s="204">
        <f>'FY 2016 by Agency'!BE71*Inflator!$E$14</f>
        <v>4216.0253277711554</v>
      </c>
      <c r="BS70" s="204">
        <f t="shared" si="34"/>
        <v>-766.82361943665637</v>
      </c>
      <c r="BT70" s="199">
        <f t="shared" si="35"/>
        <v>-0.15389260793593865</v>
      </c>
      <c r="BU70" s="204">
        <f>'FY 2016 by Agency'!BL71*Inflator!$E$14</f>
        <v>4683.0411203814065</v>
      </c>
      <c r="BV70" s="204">
        <f t="shared" si="76"/>
        <v>-510.48471435463216</v>
      </c>
      <c r="BW70" s="309">
        <v>4390</v>
      </c>
      <c r="BX70" s="206">
        <f>'FY 2016 by Agency'!BW71*Inflator!E15</f>
        <v>5516.9947229551444</v>
      </c>
      <c r="BY70" s="204">
        <f>'FY 2016 by Agency'!BZ71*Inflator!$E$15</f>
        <v>11771.278803869833</v>
      </c>
      <c r="BZ70" s="206">
        <f t="shared" si="37"/>
        <v>173.97467222884461</v>
      </c>
      <c r="CA70" s="199">
        <f t="shared" si="38"/>
        <v>4.126509181120553E-2</v>
      </c>
      <c r="CB70" s="308">
        <f>'FY 2016 by Agency'!CF71*Inflator!$E$16</f>
        <v>15538.782847242273</v>
      </c>
      <c r="CC70" s="206">
        <f t="shared" si="67"/>
        <v>3767.5040433724407</v>
      </c>
      <c r="CD70" s="304">
        <f t="shared" si="68"/>
        <v>0.32005902724297602</v>
      </c>
      <c r="CE70" s="206">
        <f>'FY 2016 by Agency'!CK71*Inflator!$E$17</f>
        <v>14602.921224142818</v>
      </c>
      <c r="CF70" s="206">
        <f t="shared" si="77"/>
        <v>-935.86162309945576</v>
      </c>
      <c r="CG70" s="562">
        <f t="shared" si="78"/>
        <v>-6.0227472917259196E-2</v>
      </c>
      <c r="CH70" s="206">
        <f>'FY 2016 by Agency'!CN71*Inflator!$E$18</f>
        <v>15196</v>
      </c>
      <c r="CI70" s="753">
        <f t="shared" si="79"/>
        <v>593.07877585718234</v>
      </c>
      <c r="CJ70" s="66">
        <f t="shared" si="80"/>
        <v>4.0613707815984994E-2</v>
      </c>
    </row>
    <row r="71" spans="1:88" ht="18" customHeight="1" x14ac:dyDescent="0.25">
      <c r="A71" s="317" t="s">
        <v>187</v>
      </c>
      <c r="B71" s="302">
        <f>'FY 2016 by Agency'!B72*Inflator!$E$2</f>
        <v>0</v>
      </c>
      <c r="C71" s="302">
        <f>'FY 2016 by Agency'!C72*Inflator!$E$3</f>
        <v>0</v>
      </c>
      <c r="D71" s="302">
        <f t="shared" si="6"/>
        <v>0</v>
      </c>
      <c r="E71" s="303" t="e">
        <f t="shared" si="7"/>
        <v>#DIV/0!</v>
      </c>
      <c r="F71" s="204">
        <f>'FY 2016 by Agency'!F72*Inflator!$E$4</f>
        <v>2710.1362771221925</v>
      </c>
      <c r="G71" s="204">
        <f t="shared" si="8"/>
        <v>2710.1362771221925</v>
      </c>
      <c r="H71" s="199" t="e">
        <f t="shared" si="9"/>
        <v>#DIV/0!</v>
      </c>
      <c r="I71" s="204">
        <f>'FY 2016 by Agency'!I72*Inflator!$E$5</f>
        <v>3490.4481219784311</v>
      </c>
      <c r="J71" s="204">
        <f t="shared" si="10"/>
        <v>780.31184485623862</v>
      </c>
      <c r="K71" s="199">
        <f t="shared" si="11"/>
        <v>0.28792347139267366</v>
      </c>
      <c r="L71" s="204">
        <f>'FY 2016 by Agency'!L72*Inflator!$E$6</f>
        <v>3922.5681570338061</v>
      </c>
      <c r="M71" s="204">
        <f t="shared" si="12"/>
        <v>432.12003505537496</v>
      </c>
      <c r="N71" s="199">
        <f t="shared" si="13"/>
        <v>0.12380073272953954</v>
      </c>
      <c r="O71" s="204">
        <f>'FY 2016 by Agency'!O72*Inflator!$E$7</f>
        <v>3937.808870116156</v>
      </c>
      <c r="P71" s="315">
        <f t="shared" si="69"/>
        <v>15.240713082349885</v>
      </c>
      <c r="Q71" s="304">
        <f t="shared" si="49"/>
        <v>3.8853915272372753E-3</v>
      </c>
      <c r="R71" s="204">
        <f>'FY 2016 by Agency'!R72*Inflator!$E$8</f>
        <v>3862.2790224032588</v>
      </c>
      <c r="S71" s="315">
        <f t="shared" si="50"/>
        <v>-75.529847712897208</v>
      </c>
      <c r="T71" s="304">
        <f t="shared" si="51"/>
        <v>-1.9180678952218741E-2</v>
      </c>
      <c r="U71" s="204">
        <f>'FY 2016 by Agency'!U72*Inflator!$E$9</f>
        <v>4208.6767241379303</v>
      </c>
      <c r="V71" s="204">
        <f t="shared" si="70"/>
        <v>346.3977017346715</v>
      </c>
      <c r="W71" s="304">
        <f t="shared" si="71"/>
        <v>8.9687383983752034E-2</v>
      </c>
      <c r="X71" s="204">
        <f>'FY 2016 by Agency'!X72*Inflator!$E$10</f>
        <v>6036.6554461733886</v>
      </c>
      <c r="Y71" s="206">
        <f t="shared" si="52"/>
        <v>1827.9787220354583</v>
      </c>
      <c r="Z71" s="304">
        <f>Y71/U71</f>
        <v>0.43433574062638086</v>
      </c>
      <c r="AA71" s="204">
        <f>'FY 2016 by Agency'!AA72*Inflator!$E$11</f>
        <v>7393.0942975469907</v>
      </c>
      <c r="AB71" s="206">
        <f t="shared" si="54"/>
        <v>1356.4388513736021</v>
      </c>
      <c r="AC71" s="304">
        <f>AB71/X71</f>
        <v>0.22470039303525982</v>
      </c>
      <c r="AD71" s="204" t="e">
        <f>'FY 2016 by Agency'!AD72*Inflator!#REF!</f>
        <v>#REF!</v>
      </c>
      <c r="AE71" s="204">
        <f>'FY 2016 by Agency'!AE72*Inflator!$B$8</f>
        <v>0</v>
      </c>
      <c r="AF71" s="204">
        <f>'FY 2016 by Agency'!AF72*Inflator!$E$12</f>
        <v>5927.1156015037604</v>
      </c>
      <c r="AG71" s="204">
        <f t="shared" si="56"/>
        <v>-1465.9786960432302</v>
      </c>
      <c r="AH71" s="304">
        <f t="shared" si="57"/>
        <v>-0.19829027428064025</v>
      </c>
      <c r="AI71" s="204">
        <f>'FY 2016 by Agency'!AI72*Inflator!$B$8</f>
        <v>0</v>
      </c>
      <c r="AJ71" s="204">
        <f>'FY 2016 by Agency'!AJ72*Inflator!$B$8</f>
        <v>0</v>
      </c>
      <c r="AK71" s="204">
        <f>'FY 2016 by Agency'!AK72</f>
        <v>409</v>
      </c>
      <c r="AL71" s="204">
        <f>'FY 2016 by Agency'!AL72</f>
        <v>0</v>
      </c>
      <c r="AM71" s="204">
        <f>'FY 2016 by Agency'!AM72</f>
        <v>409</v>
      </c>
      <c r="AN71" s="204">
        <f>'FY 2016 by Agency'!AN72</f>
        <v>400</v>
      </c>
      <c r="AO71" s="204">
        <f>'FY 2016 by Agency'!AO72</f>
        <v>5194</v>
      </c>
      <c r="AP71" s="204">
        <f>'FY 2016 by Agency'!AP72</f>
        <v>0</v>
      </c>
      <c r="AQ71" s="204">
        <f>'FY 2016 by Agency'!AQ72</f>
        <v>0</v>
      </c>
      <c r="AR71" s="204">
        <f>'FY 2016 by Agency'!AR72</f>
        <v>0</v>
      </c>
      <c r="AS71" s="204">
        <f>'FY 2016 by Agency'!AS72</f>
        <v>4525.5811000000003</v>
      </c>
      <c r="AT71" s="204" t="e">
        <f t="shared" si="58"/>
        <v>#REF!</v>
      </c>
      <c r="AU71" s="304" t="e">
        <f t="shared" si="59"/>
        <v>#REF!</v>
      </c>
      <c r="AV71" s="204">
        <f t="shared" si="60"/>
        <v>-1401.5345015037601</v>
      </c>
      <c r="AW71" s="304">
        <f t="shared" si="61"/>
        <v>-0.23646147565405654</v>
      </c>
      <c r="AX71" s="206">
        <f>400+5139</f>
        <v>5539</v>
      </c>
      <c r="AY71" s="206">
        <f>400+5139</f>
        <v>5539</v>
      </c>
      <c r="AZ71" s="206">
        <f t="shared" si="62"/>
        <v>345</v>
      </c>
      <c r="BA71" s="206">
        <f t="shared" si="63"/>
        <v>-1056.5345015037601</v>
      </c>
      <c r="BB71" s="206">
        <f t="shared" si="64"/>
        <v>4870.5811000000003</v>
      </c>
      <c r="BC71" s="304">
        <f t="shared" si="65"/>
        <v>-0.17825441117357455</v>
      </c>
      <c r="BD71" s="306">
        <v>0</v>
      </c>
      <c r="BE71" s="199">
        <f t="shared" si="66"/>
        <v>0</v>
      </c>
      <c r="BI71" s="200">
        <v>4843</v>
      </c>
      <c r="BJ71" s="206">
        <f t="shared" si="72"/>
        <v>-696</v>
      </c>
      <c r="BK71" s="200">
        <f t="shared" si="73"/>
        <v>4843</v>
      </c>
      <c r="BL71" s="307">
        <f>'FY 2016 by Agency'!BB72*Inflator!$E$13</f>
        <v>4975.7914871223684</v>
      </c>
      <c r="BM71" s="204">
        <f t="shared" si="74"/>
        <v>-951.32411438139206</v>
      </c>
      <c r="BN71" s="199">
        <f t="shared" si="75"/>
        <v>-0.16050372193517415</v>
      </c>
      <c r="BO71" s="204">
        <f>'FY 2016 by Agency'!AX72*Inflator!$E$13</f>
        <v>5324.787610619469</v>
      </c>
      <c r="BP71" s="204">
        <f t="shared" si="32"/>
        <v>-602.32799088429147</v>
      </c>
      <c r="BQ71" s="199">
        <f t="shared" si="33"/>
        <v>-0.10162244696753943</v>
      </c>
      <c r="BR71" s="204">
        <f>'FY 2016 by Agency'!BE72*Inflator!$E$14</f>
        <v>5246.6808700834326</v>
      </c>
      <c r="BS71" s="204">
        <f t="shared" si="34"/>
        <v>-78.106740536036341</v>
      </c>
      <c r="BT71" s="199">
        <f t="shared" si="35"/>
        <v>-1.4668517553688804E-2</v>
      </c>
      <c r="BU71" s="204">
        <f>'FY 2016 by Agency'!BL72*Inflator!$E$14</f>
        <v>5246.6808700834326</v>
      </c>
      <c r="BV71" s="204">
        <f t="shared" si="76"/>
        <v>270.88938296106426</v>
      </c>
      <c r="BW71" s="206">
        <v>6835</v>
      </c>
      <c r="BX71" s="206">
        <f>'FY 2016 by Agency'!BW72*Inflator!E15</f>
        <v>7815.4784520668418</v>
      </c>
      <c r="BY71" s="204">
        <f>'FY 2016 by Agency'!BZ72*Inflator!$E$15</f>
        <v>5856.0633245382578</v>
      </c>
      <c r="BZ71" s="206">
        <f t="shared" si="37"/>
        <v>1588.3191299165674</v>
      </c>
      <c r="CA71" s="199">
        <f t="shared" si="38"/>
        <v>0.30272836660852787</v>
      </c>
      <c r="CB71" s="308">
        <f>'FY 2016 by Agency'!CF72*Inflator!$E$16</f>
        <v>5811.8273173548941</v>
      </c>
      <c r="CC71" s="206">
        <f t="shared" si="67"/>
        <v>-44.236007183363654</v>
      </c>
      <c r="CD71" s="304">
        <f t="shared" si="68"/>
        <v>-7.5538812905257642E-3</v>
      </c>
      <c r="CE71" s="206">
        <f>'FY 2016 by Agency'!CK72*Inflator!$E$17</f>
        <v>7602.1360158685193</v>
      </c>
      <c r="CF71" s="206">
        <f t="shared" si="77"/>
        <v>1790.3086985136251</v>
      </c>
      <c r="CG71" s="562">
        <f t="shared" si="78"/>
        <v>0.308045748910592</v>
      </c>
      <c r="CH71" s="206">
        <f>'FY 2016 by Agency'!CN72*Inflator!$E$18</f>
        <v>8142</v>
      </c>
      <c r="CI71" s="753">
        <f t="shared" si="79"/>
        <v>539.86398413148072</v>
      </c>
      <c r="CJ71" s="66">
        <f t="shared" si="80"/>
        <v>7.1014775716269921E-2</v>
      </c>
    </row>
    <row r="72" spans="1:88" ht="18" customHeight="1" x14ac:dyDescent="0.25">
      <c r="A72" s="317" t="s">
        <v>188</v>
      </c>
      <c r="B72" s="310" t="s">
        <v>132</v>
      </c>
      <c r="C72" s="310" t="s">
        <v>132</v>
      </c>
      <c r="D72" s="310" t="s">
        <v>132</v>
      </c>
      <c r="E72" s="310" t="s">
        <v>132</v>
      </c>
      <c r="F72" s="310" t="s">
        <v>132</v>
      </c>
      <c r="G72" s="310" t="s">
        <v>132</v>
      </c>
      <c r="H72" s="310" t="s">
        <v>132</v>
      </c>
      <c r="I72" s="310" t="s">
        <v>132</v>
      </c>
      <c r="J72" s="310" t="s">
        <v>132</v>
      </c>
      <c r="K72" s="310" t="s">
        <v>132</v>
      </c>
      <c r="L72" s="204" t="e">
        <f>'FY 2016 by Agency'!L73*Inflator!$E$6</f>
        <v>#VALUE!</v>
      </c>
      <c r="M72" s="310" t="s">
        <v>132</v>
      </c>
      <c r="N72" s="310" t="s">
        <v>132</v>
      </c>
      <c r="O72" s="204" t="e">
        <f>'FY 2016 by Agency'!O73*Inflator!$E$7</f>
        <v>#VALUE!</v>
      </c>
      <c r="P72" s="315" t="e">
        <f t="shared" si="69"/>
        <v>#VALUE!</v>
      </c>
      <c r="Q72" s="304" t="e">
        <f t="shared" si="49"/>
        <v>#VALUE!</v>
      </c>
      <c r="R72" s="204" t="e">
        <f>'FY 2016 by Agency'!R73*Inflator!$E$8</f>
        <v>#VALUE!</v>
      </c>
      <c r="S72" s="315" t="e">
        <f t="shared" si="50"/>
        <v>#VALUE!</v>
      </c>
      <c r="T72" s="394" t="s">
        <v>132</v>
      </c>
      <c r="U72" s="204">
        <f>'FY 2016 by Agency'!U73*Inflator!$E$9</f>
        <v>0</v>
      </c>
      <c r="V72" s="204" t="e">
        <f t="shared" si="70"/>
        <v>#VALUE!</v>
      </c>
      <c r="W72" s="394" t="s">
        <v>132</v>
      </c>
      <c r="X72" s="204">
        <f>'FY 2016 by Agency'!X73*Inflator!$E$10</f>
        <v>0</v>
      </c>
      <c r="Y72" s="206">
        <f t="shared" si="52"/>
        <v>0</v>
      </c>
      <c r="Z72" s="311" t="s">
        <v>405</v>
      </c>
      <c r="AA72" s="204">
        <f>'FY 2016 by Agency'!AA73*Inflator!$E$11</f>
        <v>0</v>
      </c>
      <c r="AB72" s="206">
        <f t="shared" si="54"/>
        <v>0</v>
      </c>
      <c r="AC72" s="304"/>
      <c r="AD72" s="204" t="e">
        <f>'FY 2016 by Agency'!AD73*Inflator!#REF!</f>
        <v>#REF!</v>
      </c>
      <c r="AE72" s="204">
        <f>'FY 2016 by Agency'!AE73*Inflator!$B$8</f>
        <v>0</v>
      </c>
      <c r="AF72" s="204">
        <f>'FY 2016 by Agency'!AF73*Inflator!$E$12</f>
        <v>0</v>
      </c>
      <c r="AG72" s="204">
        <f t="shared" si="56"/>
        <v>0</v>
      </c>
      <c r="AH72" s="304" t="e">
        <f t="shared" si="57"/>
        <v>#DIV/0!</v>
      </c>
      <c r="AI72" s="204">
        <f>'FY 2016 by Agency'!AI73*Inflator!$B$8</f>
        <v>0</v>
      </c>
      <c r="AJ72" s="204">
        <f>'FY 2016 by Agency'!AJ73*Inflator!$B$8</f>
        <v>0</v>
      </c>
      <c r="AK72" s="204">
        <f>'FY 2016 by Agency'!AK73</f>
        <v>0</v>
      </c>
      <c r="AL72" s="204">
        <f>'FY 2016 by Agency'!AL73</f>
        <v>0</v>
      </c>
      <c r="AM72" s="204">
        <f>'FY 2016 by Agency'!AM73</f>
        <v>0</v>
      </c>
      <c r="AN72" s="204">
        <f>'FY 2016 by Agency'!AN73</f>
        <v>0</v>
      </c>
      <c r="AO72" s="204">
        <f>'FY 2016 by Agency'!AO73</f>
        <v>0</v>
      </c>
      <c r="AP72" s="204">
        <f>'FY 2016 by Agency'!AP73</f>
        <v>0</v>
      </c>
      <c r="AQ72" s="204">
        <f>'FY 2016 by Agency'!AQ73</f>
        <v>0</v>
      </c>
      <c r="AR72" s="204">
        <f>'FY 2016 by Agency'!AR73</f>
        <v>0</v>
      </c>
      <c r="AS72" s="204">
        <f>'FY 2016 by Agency'!AS73</f>
        <v>0</v>
      </c>
      <c r="AT72" s="204" t="e">
        <f t="shared" si="58"/>
        <v>#REF!</v>
      </c>
      <c r="AU72" s="304" t="e">
        <f t="shared" si="59"/>
        <v>#REF!</v>
      </c>
      <c r="AV72" s="204">
        <f t="shared" si="60"/>
        <v>0</v>
      </c>
      <c r="AW72" s="304" t="e">
        <f t="shared" si="61"/>
        <v>#DIV/0!</v>
      </c>
      <c r="AX72" s="206"/>
      <c r="AY72" s="206"/>
      <c r="AZ72" s="206">
        <f t="shared" si="62"/>
        <v>0</v>
      </c>
      <c r="BA72" s="206">
        <f t="shared" si="63"/>
        <v>0</v>
      </c>
      <c r="BB72" s="206">
        <f t="shared" si="64"/>
        <v>0</v>
      </c>
      <c r="BC72" s="304" t="e">
        <f t="shared" si="65"/>
        <v>#DIV/0!</v>
      </c>
      <c r="BD72" s="359"/>
      <c r="BI72" s="200"/>
      <c r="BJ72" s="206">
        <f t="shared" si="72"/>
        <v>0</v>
      </c>
      <c r="BK72" s="200">
        <f t="shared" si="73"/>
        <v>0</v>
      </c>
      <c r="BL72" s="307">
        <f>'FY 2016 by Agency'!BB73*Inflator!$E$13</f>
        <v>0</v>
      </c>
      <c r="BM72" s="204">
        <f t="shared" si="74"/>
        <v>0</v>
      </c>
      <c r="BN72" s="199" t="e">
        <f t="shared" si="75"/>
        <v>#DIV/0!</v>
      </c>
      <c r="BO72" s="204">
        <f>'FY 2016 by Agency'!AX73*Inflator!$E$13</f>
        <v>0</v>
      </c>
      <c r="BP72" s="204">
        <f t="shared" si="32"/>
        <v>0</v>
      </c>
      <c r="BQ72" s="199" t="e">
        <f t="shared" si="33"/>
        <v>#DIV/0!</v>
      </c>
      <c r="BR72" s="204">
        <f>'FY 2016 by Agency'!BE73*Inflator!$E$14</f>
        <v>0</v>
      </c>
      <c r="BS72" s="204">
        <f t="shared" si="34"/>
        <v>0</v>
      </c>
      <c r="BT72" s="199" t="e">
        <f t="shared" si="35"/>
        <v>#DIV/0!</v>
      </c>
      <c r="BU72" s="204">
        <f>'FY 2016 by Agency'!BL73*Inflator!$E$14</f>
        <v>0</v>
      </c>
      <c r="BV72" s="204">
        <f t="shared" si="76"/>
        <v>0</v>
      </c>
      <c r="BW72" s="206"/>
      <c r="BX72" s="206">
        <f>'FY 2016 by Agency'!BW73*Inflator!E15</f>
        <v>0</v>
      </c>
      <c r="BY72" s="204">
        <f>'FY 2016 by Agency'!BZ73*Inflator!$E$15</f>
        <v>0</v>
      </c>
      <c r="BZ72" s="206">
        <f t="shared" si="37"/>
        <v>0</v>
      </c>
      <c r="CA72" s="199" t="e">
        <f t="shared" si="38"/>
        <v>#DIV/0!</v>
      </c>
      <c r="CB72" s="308">
        <f>'FY 2016 by Agency'!CF73*Inflator!$E$16</f>
        <v>0</v>
      </c>
      <c r="CC72" s="206">
        <f t="shared" si="67"/>
        <v>0</v>
      </c>
      <c r="CD72" s="304" t="e">
        <f t="shared" si="68"/>
        <v>#DIV/0!</v>
      </c>
      <c r="CE72" s="206">
        <f>'FY 2016 by Agency'!CK73*Inflator!$E$17</f>
        <v>0</v>
      </c>
      <c r="CF72" s="206">
        <f t="shared" si="77"/>
        <v>0</v>
      </c>
      <c r="CG72" s="562" t="e">
        <f t="shared" si="78"/>
        <v>#DIV/0!</v>
      </c>
      <c r="CH72" s="206">
        <f>'FY 2016 by Agency'!CN73*Inflator!$E$18</f>
        <v>0</v>
      </c>
      <c r="CI72" s="753">
        <f t="shared" si="79"/>
        <v>0</v>
      </c>
      <c r="CJ72" s="66" t="e">
        <f t="shared" si="80"/>
        <v>#DIV/0!</v>
      </c>
    </row>
    <row r="73" spans="1:88" ht="18" customHeight="1" x14ac:dyDescent="0.25">
      <c r="A73" s="317" t="s">
        <v>189</v>
      </c>
      <c r="B73" s="302">
        <f>'FY 2016 by Agency'!B74*Inflator!$E$2</f>
        <v>7405.6877990430621</v>
      </c>
      <c r="C73" s="302">
        <f>'FY 2016 by Agency'!C74*Inflator!$E$3</f>
        <v>8300.2650695517787</v>
      </c>
      <c r="D73" s="302">
        <f t="shared" si="6"/>
        <v>894.57727050871654</v>
      </c>
      <c r="E73" s="303">
        <f t="shared" si="7"/>
        <v>0.12079597395724821</v>
      </c>
      <c r="F73" s="204">
        <f>'FY 2016 by Agency'!F74*Inflator!$E$4</f>
        <v>8403.3425961172434</v>
      </c>
      <c r="G73" s="204">
        <f t="shared" si="8"/>
        <v>103.07752656546472</v>
      </c>
      <c r="H73" s="199">
        <f t="shared" si="9"/>
        <v>1.241858250329721E-2</v>
      </c>
      <c r="I73" s="204">
        <f>'FY 2016 by Agency'!I74*Inflator!$E$5</f>
        <v>8512.4057270360736</v>
      </c>
      <c r="J73" s="204">
        <f t="shared" si="10"/>
        <v>109.06313091883021</v>
      </c>
      <c r="K73" s="199">
        <f t="shared" si="11"/>
        <v>1.2978541535272253E-2</v>
      </c>
      <c r="L73" s="204">
        <f>'FY 2016 by Agency'!L74*Inflator!$E$6</f>
        <v>8484.2726281352243</v>
      </c>
      <c r="M73" s="204">
        <f t="shared" si="12"/>
        <v>-28.133098900849291</v>
      </c>
      <c r="N73" s="199">
        <f t="shared" si="13"/>
        <v>-3.3049527716349733E-3</v>
      </c>
      <c r="O73" s="204">
        <f>'FY 2016 by Agency'!O74*Inflator!$E$7</f>
        <v>8308.0791974656804</v>
      </c>
      <c r="P73" s="315">
        <f t="shared" si="69"/>
        <v>-176.19343066954389</v>
      </c>
      <c r="Q73" s="304">
        <f t="shared" si="49"/>
        <v>-2.0767063765166845E-2</v>
      </c>
      <c r="R73" s="204">
        <f>'FY 2016 by Agency'!R74*Inflator!$E$8</f>
        <v>12457.623217922608</v>
      </c>
      <c r="S73" s="315">
        <f t="shared" si="50"/>
        <v>4149.5440204569277</v>
      </c>
      <c r="T73" s="304">
        <f t="shared" si="51"/>
        <v>0.49945889077739125</v>
      </c>
      <c r="U73" s="204">
        <f>'FY 2016 by Agency'!U74*Inflator!$E$9</f>
        <v>9112.6273209549054</v>
      </c>
      <c r="V73" s="204">
        <f t="shared" si="70"/>
        <v>-3344.9958969677027</v>
      </c>
      <c r="W73" s="304">
        <f t="shared" si="71"/>
        <v>-0.26850995879818423</v>
      </c>
      <c r="X73" s="204">
        <f>'FY 2016 by Agency'!X74*Inflator!$E$10</f>
        <v>9803.272149888855</v>
      </c>
      <c r="Y73" s="206">
        <f t="shared" si="52"/>
        <v>690.64482893394961</v>
      </c>
      <c r="Z73" s="304">
        <f t="shared" ref="Z73:Z78" si="81">Y73/U73</f>
        <v>7.5789868784140887E-2</v>
      </c>
      <c r="AA73" s="204">
        <f>'FY 2016 by Agency'!AA74*Inflator!$E$11</f>
        <v>11237.136030582989</v>
      </c>
      <c r="AB73" s="206">
        <f t="shared" si="54"/>
        <v>1433.8638806941344</v>
      </c>
      <c r="AC73" s="304">
        <f>AB73/X73</f>
        <v>0.14626380444925124</v>
      </c>
      <c r="AD73" s="204" t="e">
        <f>'FY 2016 by Agency'!AD74*Inflator!#REF!</f>
        <v>#REF!</v>
      </c>
      <c r="AE73" s="204">
        <f>'FY 2016 by Agency'!AE74*Inflator!$B$8</f>
        <v>0</v>
      </c>
      <c r="AF73" s="204">
        <f>'FY 2016 by Agency'!AF74*Inflator!$E$12</f>
        <v>10792.068609022557</v>
      </c>
      <c r="AG73" s="204">
        <f t="shared" si="56"/>
        <v>-445.06742156043219</v>
      </c>
      <c r="AH73" s="304">
        <f t="shared" si="57"/>
        <v>-3.9606837574016784E-2</v>
      </c>
      <c r="AI73" s="204">
        <f>'FY 2016 by Agency'!AI74*Inflator!$B$8</f>
        <v>0</v>
      </c>
      <c r="AJ73" s="204">
        <f>'FY 2016 by Agency'!AJ74*Inflator!$B$8</f>
        <v>0</v>
      </c>
      <c r="AK73" s="204">
        <f>'FY 2016 by Agency'!AK74</f>
        <v>0</v>
      </c>
      <c r="AL73" s="204">
        <f>'FY 2016 by Agency'!AL74</f>
        <v>0</v>
      </c>
      <c r="AM73" s="204">
        <f>'FY 2016 by Agency'!AM74</f>
        <v>0</v>
      </c>
      <c r="AN73" s="204">
        <f>'FY 2016 by Agency'!AN74</f>
        <v>0</v>
      </c>
      <c r="AO73" s="204">
        <f>'FY 2016 by Agency'!AO74</f>
        <v>9569</v>
      </c>
      <c r="AP73" s="204">
        <f>'FY 2016 by Agency'!AP74</f>
        <v>0</v>
      </c>
      <c r="AQ73" s="204">
        <f>'FY 2016 by Agency'!AQ74</f>
        <v>78</v>
      </c>
      <c r="AR73" s="204">
        <f>'FY 2016 by Agency'!AR74</f>
        <v>78</v>
      </c>
      <c r="AS73" s="204">
        <f>'FY 2016 by Agency'!AS74</f>
        <v>9316.9128099999998</v>
      </c>
      <c r="AT73" s="204" t="e">
        <f t="shared" si="58"/>
        <v>#REF!</v>
      </c>
      <c r="AU73" s="304" t="e">
        <f t="shared" si="59"/>
        <v>#REF!</v>
      </c>
      <c r="AV73" s="204">
        <f t="shared" si="60"/>
        <v>-1475.1557990225574</v>
      </c>
      <c r="AW73" s="304">
        <f t="shared" si="61"/>
        <v>-0.13668888259191331</v>
      </c>
      <c r="AX73" s="206">
        <v>9569</v>
      </c>
      <c r="AY73" s="206">
        <v>9569</v>
      </c>
      <c r="AZ73" s="206">
        <f t="shared" si="62"/>
        <v>0</v>
      </c>
      <c r="BA73" s="206">
        <f t="shared" si="63"/>
        <v>-1475.1557990225574</v>
      </c>
      <c r="BB73" s="206">
        <f t="shared" si="64"/>
        <v>9316.9128099999998</v>
      </c>
      <c r="BC73" s="304">
        <f t="shared" si="65"/>
        <v>-0.13668888259191325</v>
      </c>
      <c r="BD73" s="359"/>
      <c r="BI73" s="200">
        <v>9453</v>
      </c>
      <c r="BJ73" s="206">
        <f t="shared" si="72"/>
        <v>-116</v>
      </c>
      <c r="BK73" s="200">
        <f t="shared" si="73"/>
        <v>9531</v>
      </c>
      <c r="BL73" s="307">
        <f>'FY 2016 by Agency'!BB74*Inflator!$E$13</f>
        <v>10158.011246393042</v>
      </c>
      <c r="BM73" s="204">
        <f t="shared" si="74"/>
        <v>-634.05736262951541</v>
      </c>
      <c r="BN73" s="199">
        <f t="shared" si="75"/>
        <v>-5.8752161944135593E-2</v>
      </c>
      <c r="BO73" s="204">
        <f>'FY 2016 by Agency'!AX74*Inflator!$E$13</f>
        <v>10393.396093988404</v>
      </c>
      <c r="BP73" s="204">
        <f t="shared" si="32"/>
        <v>-398.67251503415355</v>
      </c>
      <c r="BQ73" s="199">
        <f t="shared" si="33"/>
        <v>-3.6941250975818386E-2</v>
      </c>
      <c r="BR73" s="204">
        <f>'FY 2016 by Agency'!BE74*Inflator!$E$14</f>
        <v>9917.9123957091761</v>
      </c>
      <c r="BS73" s="204">
        <f t="shared" si="34"/>
        <v>-475.48369827922761</v>
      </c>
      <c r="BT73" s="199">
        <f t="shared" si="35"/>
        <v>-4.5748636343634581E-2</v>
      </c>
      <c r="BU73" s="204">
        <f>'FY 2016 by Agency'!BL74*Inflator!$E$14</f>
        <v>9917.9123957091761</v>
      </c>
      <c r="BV73" s="204">
        <f t="shared" si="76"/>
        <v>-240.09885068386575</v>
      </c>
      <c r="BW73" s="309">
        <v>10360</v>
      </c>
      <c r="BX73" s="206">
        <f>'FY 2016 by Agency'!BW74*Inflator!E15</f>
        <v>12740.951627088829</v>
      </c>
      <c r="BY73" s="204">
        <f>'FY 2016 by Agency'!BZ74*Inflator!$E$15</f>
        <v>10236.491644678979</v>
      </c>
      <c r="BZ73" s="206">
        <f t="shared" si="37"/>
        <v>442.08760429082395</v>
      </c>
      <c r="CA73" s="199">
        <f t="shared" si="38"/>
        <v>4.4574663160171286E-2</v>
      </c>
      <c r="CB73" s="308">
        <f>'FY 2016 by Agency'!CF74*Inflator!$E$16</f>
        <v>11733.939936471266</v>
      </c>
      <c r="CC73" s="206">
        <f t="shared" si="67"/>
        <v>1497.4482917922869</v>
      </c>
      <c r="CD73" s="304">
        <f t="shared" si="68"/>
        <v>0.14628530396648876</v>
      </c>
      <c r="CE73" s="206">
        <f>'FY 2016 by Agency'!CK74*Inflator!$E$17</f>
        <v>12413.963445735337</v>
      </c>
      <c r="CF73" s="206">
        <f t="shared" si="77"/>
        <v>680.02350926407053</v>
      </c>
      <c r="CG73" s="562">
        <f t="shared" si="78"/>
        <v>5.795355293667654E-2</v>
      </c>
      <c r="CH73" s="206">
        <f>'FY 2016 by Agency'!CN74*Inflator!$E$18</f>
        <v>12729</v>
      </c>
      <c r="CI73" s="753">
        <f t="shared" si="79"/>
        <v>315.03655426466321</v>
      </c>
      <c r="CJ73" s="66">
        <f t="shared" si="80"/>
        <v>2.5377596417273978E-2</v>
      </c>
    </row>
    <row r="74" spans="1:88" ht="18" customHeight="1" x14ac:dyDescent="0.25">
      <c r="A74" s="317" t="s">
        <v>190</v>
      </c>
      <c r="B74" s="302">
        <f>'FY 2016 by Agency'!B75*Inflator!$E$2</f>
        <v>3960.7141148325359</v>
      </c>
      <c r="C74" s="302">
        <f>'FY 2016 by Agency'!C75*Inflator!$E$3</f>
        <v>4248.978361669243</v>
      </c>
      <c r="D74" s="302">
        <f t="shared" si="6"/>
        <v>288.26424683670712</v>
      </c>
      <c r="E74" s="303">
        <f t="shared" si="7"/>
        <v>7.2780877003261135E-2</v>
      </c>
      <c r="F74" s="204">
        <f>'FY 2016 by Agency'!F75*Inflator!$E$4</f>
        <v>5247.4602207841644</v>
      </c>
      <c r="G74" s="204">
        <f t="shared" si="8"/>
        <v>998.48185911492146</v>
      </c>
      <c r="H74" s="199">
        <f t="shared" si="9"/>
        <v>0.23499339702983574</v>
      </c>
      <c r="I74" s="204">
        <f>'FY 2016 by Agency'!I75*Inflator!$E$5</f>
        <v>5063.4946076608412</v>
      </c>
      <c r="J74" s="204">
        <f t="shared" si="10"/>
        <v>-183.96561312332324</v>
      </c>
      <c r="K74" s="199">
        <f t="shared" si="11"/>
        <v>-3.5058029100377246E-2</v>
      </c>
      <c r="L74" s="204">
        <f>'FY 2016 by Agency'!L75*Inflator!$E$6</f>
        <v>5490.2857142857147</v>
      </c>
      <c r="M74" s="204">
        <f t="shared" si="12"/>
        <v>426.79110662487346</v>
      </c>
      <c r="N74" s="199">
        <f t="shared" si="13"/>
        <v>8.4287856449803966E-2</v>
      </c>
      <c r="O74" s="204">
        <f>'FY 2016 by Agency'!O75*Inflator!$E$7</f>
        <v>4857.2650475184792</v>
      </c>
      <c r="P74" s="315">
        <f t="shared" si="69"/>
        <v>-633.02066676723553</v>
      </c>
      <c r="Q74" s="304">
        <f t="shared" si="49"/>
        <v>-0.11529831045406558</v>
      </c>
      <c r="R74" s="204">
        <f>'FY 2016 by Agency'!R75*Inflator!$E$8</f>
        <v>5184.3574338085546</v>
      </c>
      <c r="S74" s="315">
        <f t="shared" si="50"/>
        <v>327.09238629007541</v>
      </c>
      <c r="T74" s="304">
        <f t="shared" si="51"/>
        <v>6.7340856035266836E-2</v>
      </c>
      <c r="U74" s="204">
        <f>'FY 2016 by Agency'!U75*Inflator!$E$9</f>
        <v>5237.2519893899198</v>
      </c>
      <c r="V74" s="204">
        <f t="shared" si="70"/>
        <v>52.894555581365239</v>
      </c>
      <c r="W74" s="304">
        <f t="shared" si="71"/>
        <v>1.0202721601798899E-2</v>
      </c>
      <c r="X74" s="204">
        <f>'FY 2016 by Agency'!X75*Inflator!$E$10</f>
        <v>5566.4004445855835</v>
      </c>
      <c r="Y74" s="206">
        <f t="shared" si="52"/>
        <v>329.1484551956637</v>
      </c>
      <c r="Z74" s="304">
        <f t="shared" si="81"/>
        <v>6.2847549795671712E-2</v>
      </c>
      <c r="AA74" s="204">
        <f>'FY 2016 by Agency'!AA75*Inflator!$E$11</f>
        <v>5767.7843262185415</v>
      </c>
      <c r="AB74" s="206">
        <f t="shared" si="54"/>
        <v>201.38388163295804</v>
      </c>
      <c r="AC74" s="304">
        <f>AB74/X74</f>
        <v>3.6178475414725755E-2</v>
      </c>
      <c r="AD74" s="204" t="e">
        <f>'FY 2016 by Agency'!AD75*Inflator!#REF!</f>
        <v>#REF!</v>
      </c>
      <c r="AE74" s="204">
        <f>'FY 2016 by Agency'!AE75*Inflator!$B$8</f>
        <v>0</v>
      </c>
      <c r="AF74" s="204">
        <f>'FY 2016 by Agency'!AF75*Inflator!$E$12</f>
        <v>5331.1306390977452</v>
      </c>
      <c r="AG74" s="204">
        <f t="shared" si="56"/>
        <v>-436.65368712079635</v>
      </c>
      <c r="AH74" s="304">
        <f t="shared" si="57"/>
        <v>-7.5705619770820035E-2</v>
      </c>
      <c r="AI74" s="204">
        <f>'FY 2016 by Agency'!AI75*Inflator!$B$8</f>
        <v>0</v>
      </c>
      <c r="AJ74" s="204">
        <f>'FY 2016 by Agency'!AJ75*Inflator!$B$8</f>
        <v>0</v>
      </c>
      <c r="AK74" s="204">
        <f>'FY 2016 by Agency'!AK75</f>
        <v>0</v>
      </c>
      <c r="AL74" s="204">
        <f>'FY 2016 by Agency'!AL75</f>
        <v>0</v>
      </c>
      <c r="AM74" s="204">
        <f>'FY 2016 by Agency'!AM75</f>
        <v>0</v>
      </c>
      <c r="AN74" s="204">
        <f>'FY 2016 by Agency'!AN75</f>
        <v>0</v>
      </c>
      <c r="AO74" s="204">
        <f>'FY 2016 by Agency'!AO75</f>
        <v>5229</v>
      </c>
      <c r="AP74" s="204">
        <f>'FY 2016 by Agency'!AP75</f>
        <v>0</v>
      </c>
      <c r="AQ74" s="204">
        <f>'FY 2016 by Agency'!AQ75</f>
        <v>14</v>
      </c>
      <c r="AR74" s="204">
        <f>'FY 2016 by Agency'!AR75</f>
        <v>14</v>
      </c>
      <c r="AS74" s="204">
        <f>'FY 2016 by Agency'!AS75</f>
        <v>4974.1370699999998</v>
      </c>
      <c r="AT74" s="204" t="e">
        <f t="shared" si="58"/>
        <v>#REF!</v>
      </c>
      <c r="AU74" s="304" t="e">
        <f t="shared" si="59"/>
        <v>#REF!</v>
      </c>
      <c r="AV74" s="204">
        <f t="shared" si="60"/>
        <v>-356.99356909774542</v>
      </c>
      <c r="AW74" s="304">
        <f t="shared" si="61"/>
        <v>-6.6963950663599558E-2</v>
      </c>
      <c r="AX74" s="206">
        <v>5229</v>
      </c>
      <c r="AY74" s="206">
        <v>5229</v>
      </c>
      <c r="AZ74" s="206">
        <f t="shared" si="62"/>
        <v>0</v>
      </c>
      <c r="BA74" s="206">
        <f t="shared" si="63"/>
        <v>-356.99356909774542</v>
      </c>
      <c r="BB74" s="206">
        <f t="shared" si="64"/>
        <v>4974.1370699999998</v>
      </c>
      <c r="BC74" s="304">
        <f t="shared" si="65"/>
        <v>-6.6963950663599614E-2</v>
      </c>
      <c r="BD74" s="359"/>
      <c r="BI74" s="200">
        <v>5170</v>
      </c>
      <c r="BJ74" s="206">
        <f t="shared" si="72"/>
        <v>-59</v>
      </c>
      <c r="BK74" s="200">
        <f t="shared" si="73"/>
        <v>5184</v>
      </c>
      <c r="BL74" s="307">
        <f>'FY 2016 by Agency'!BB75*Inflator!$E$13</f>
        <v>5453.5776207537374</v>
      </c>
      <c r="BM74" s="204">
        <f t="shared" si="74"/>
        <v>122.4469816559922</v>
      </c>
      <c r="BN74" s="199">
        <f t="shared" si="75"/>
        <v>2.2968295085095767E-2</v>
      </c>
      <c r="BO74" s="204">
        <f>'FY 2016 by Agency'!AX75*Inflator!$E$13</f>
        <v>5684.3179737564842</v>
      </c>
      <c r="BP74" s="204">
        <f t="shared" si="32"/>
        <v>353.18733465873902</v>
      </c>
      <c r="BQ74" s="199">
        <f t="shared" si="33"/>
        <v>6.6249986835534264E-2</v>
      </c>
      <c r="BR74" s="204">
        <f>'FY 2016 by Agency'!BE75*Inflator!$E$14</f>
        <v>5352.9672228843856</v>
      </c>
      <c r="BS74" s="204">
        <f t="shared" si="34"/>
        <v>-331.35075087209862</v>
      </c>
      <c r="BT74" s="199">
        <f t="shared" si="35"/>
        <v>-5.8292085770340063E-2</v>
      </c>
      <c r="BU74" s="204">
        <f>'FY 2016 by Agency'!BL75*Inflator!$E$14</f>
        <v>5352.9672228843856</v>
      </c>
      <c r="BV74" s="204">
        <f t="shared" si="76"/>
        <v>-100.6103978693518</v>
      </c>
      <c r="BW74" s="206">
        <v>6116</v>
      </c>
      <c r="BX74" s="206">
        <f>'FY 2016 by Agency'!BW75*Inflator!E15</f>
        <v>7556.6877748460856</v>
      </c>
      <c r="BY74" s="204">
        <f>'FY 2016 by Agency'!BZ75*Inflator!$E$15</f>
        <v>5459.9551451187326</v>
      </c>
      <c r="BZ74" s="206">
        <f t="shared" si="37"/>
        <v>763.03277711561441</v>
      </c>
      <c r="CA74" s="199">
        <f t="shared" si="38"/>
        <v>0.14254389114388466</v>
      </c>
      <c r="CB74" s="308">
        <f>'FY 2016 by Agency'!CF75*Inflator!$E$16</f>
        <v>6333.0814322841461</v>
      </c>
      <c r="CC74" s="206">
        <f t="shared" si="67"/>
        <v>873.12628716541349</v>
      </c>
      <c r="CD74" s="304">
        <f t="shared" si="68"/>
        <v>0.15991455313437861</v>
      </c>
      <c r="CE74" s="206">
        <f>'FY 2016 by Agency'!CK75*Inflator!$E$17</f>
        <v>7055.9175403797117</v>
      </c>
      <c r="CF74" s="206">
        <f t="shared" si="77"/>
        <v>722.83610809556558</v>
      </c>
      <c r="CG74" s="562">
        <f t="shared" si="78"/>
        <v>0.11413655671799265</v>
      </c>
      <c r="CH74" s="206">
        <f>'FY 2016 by Agency'!CN75*Inflator!$E$18</f>
        <v>7398</v>
      </c>
      <c r="CI74" s="753">
        <f t="shared" si="79"/>
        <v>342.08245962028832</v>
      </c>
      <c r="CJ74" s="66">
        <f t="shared" si="80"/>
        <v>4.8481640787695381E-2</v>
      </c>
    </row>
    <row r="75" spans="1:88" ht="18" customHeight="1" x14ac:dyDescent="0.25">
      <c r="A75" s="317" t="s">
        <v>191</v>
      </c>
      <c r="B75" s="302">
        <f>'FY 2016 by Agency'!B76*Inflator!$E$2</f>
        <v>9231.6100478468907</v>
      </c>
      <c r="C75" s="302">
        <f>'FY 2016 by Agency'!C76*Inflator!$E$3</f>
        <v>10466.520092735704</v>
      </c>
      <c r="D75" s="302">
        <f t="shared" si="6"/>
        <v>1234.910044888813</v>
      </c>
      <c r="E75" s="303">
        <f t="shared" si="7"/>
        <v>0.13376973664272504</v>
      </c>
      <c r="F75" s="204">
        <f>'FY 2016 by Agency'!F76*Inflator!$E$4</f>
        <v>11446.759802055576</v>
      </c>
      <c r="G75" s="204">
        <f t="shared" si="8"/>
        <v>980.23970931987242</v>
      </c>
      <c r="H75" s="199">
        <f t="shared" si="9"/>
        <v>9.3654786943007787E-2</v>
      </c>
      <c r="I75" s="204">
        <f>'FY 2016 by Agency'!I76*Inflator!$E$5</f>
        <v>12526.756043138714</v>
      </c>
      <c r="J75" s="204">
        <f t="shared" si="10"/>
        <v>1079.9962410831376</v>
      </c>
      <c r="K75" s="199">
        <f t="shared" si="11"/>
        <v>9.4349515475042556E-2</v>
      </c>
      <c r="L75" s="204">
        <f>'FY 2016 by Agency'!L76*Inflator!$E$6</f>
        <v>14914.92693565976</v>
      </c>
      <c r="M75" s="204">
        <f t="shared" si="12"/>
        <v>2388.170892521046</v>
      </c>
      <c r="N75" s="199">
        <f t="shared" si="13"/>
        <v>0.1906455976548789</v>
      </c>
      <c r="O75" s="204">
        <f>'FY 2016 by Agency'!O76*Inflator!$E$7</f>
        <v>14921.822597676872</v>
      </c>
      <c r="P75" s="315">
        <f t="shared" si="69"/>
        <v>6.8956620171120449</v>
      </c>
      <c r="Q75" s="304">
        <f t="shared" si="49"/>
        <v>4.6233293980310175E-4</v>
      </c>
      <c r="R75" s="204">
        <f>'FY 2016 by Agency'!R76*Inflator!$E$8</f>
        <v>16091.198574338086</v>
      </c>
      <c r="S75" s="315">
        <f t="shared" si="50"/>
        <v>1169.3759766612147</v>
      </c>
      <c r="T75" s="304">
        <f t="shared" si="51"/>
        <v>7.836683280521449E-2</v>
      </c>
      <c r="U75" s="204">
        <f>'FY 2016 by Agency'!U76*Inflator!$E$9</f>
        <v>16690.156830238724</v>
      </c>
      <c r="V75" s="204">
        <f t="shared" si="70"/>
        <v>598.9582559006376</v>
      </c>
      <c r="W75" s="304">
        <f t="shared" si="71"/>
        <v>3.7222724779237014E-2</v>
      </c>
      <c r="X75" s="204">
        <f>'FY 2016 by Agency'!X76*Inflator!$E$10</f>
        <v>16763.275007939028</v>
      </c>
      <c r="Y75" s="206">
        <f t="shared" si="52"/>
        <v>73.118177700303931</v>
      </c>
      <c r="Z75" s="304">
        <f t="shared" si="81"/>
        <v>4.3809161557925337E-3</v>
      </c>
      <c r="AA75" s="204">
        <f>'FY 2016 by Agency'!AA76*Inflator!$E$11</f>
        <v>18731.238292449827</v>
      </c>
      <c r="AB75" s="206">
        <f t="shared" si="54"/>
        <v>1967.963284510799</v>
      </c>
      <c r="AC75" s="304">
        <f>AB75/X75</f>
        <v>0.11739730354472969</v>
      </c>
      <c r="AD75" s="204" t="e">
        <f>'FY 2016 by Agency'!AD76*Inflator!#REF!</f>
        <v>#REF!</v>
      </c>
      <c r="AE75" s="204">
        <f>'FY 2016 by Agency'!AE76*Inflator!$B$8</f>
        <v>0</v>
      </c>
      <c r="AF75" s="204">
        <f>'FY 2016 by Agency'!AF76*Inflator!$E$12</f>
        <v>16878.339285714286</v>
      </c>
      <c r="AG75" s="204">
        <f t="shared" si="56"/>
        <v>-1852.8990067355408</v>
      </c>
      <c r="AH75" s="304">
        <f t="shared" si="57"/>
        <v>-9.8920262387693067E-2</v>
      </c>
      <c r="AI75" s="204">
        <f>'FY 2016 by Agency'!AI76*Inflator!$B$8</f>
        <v>0</v>
      </c>
      <c r="AJ75" s="204">
        <f>'FY 2016 by Agency'!AJ76*Inflator!$B$8</f>
        <v>0</v>
      </c>
      <c r="AK75" s="204">
        <f>'FY 2016 by Agency'!AK76</f>
        <v>0</v>
      </c>
      <c r="AL75" s="204">
        <f>'FY 2016 by Agency'!AL76</f>
        <v>0</v>
      </c>
      <c r="AM75" s="204">
        <f>'FY 2016 by Agency'!AM76</f>
        <v>0</v>
      </c>
      <c r="AN75" s="204">
        <f>'FY 2016 by Agency'!AN76</f>
        <v>0</v>
      </c>
      <c r="AO75" s="204">
        <f>'FY 2016 by Agency'!AO76</f>
        <v>16674</v>
      </c>
      <c r="AP75" s="204">
        <f>'FY 2016 by Agency'!AP76</f>
        <v>0</v>
      </c>
      <c r="AQ75" s="204">
        <f>'FY 2016 by Agency'!AQ76</f>
        <v>119</v>
      </c>
      <c r="AR75" s="204">
        <f>'FY 2016 by Agency'!AR76</f>
        <v>119</v>
      </c>
      <c r="AS75" s="204">
        <f>'FY 2016 by Agency'!AS76</f>
        <v>13872.063039999999</v>
      </c>
      <c r="AT75" s="204" t="e">
        <f t="shared" si="58"/>
        <v>#REF!</v>
      </c>
      <c r="AU75" s="304" t="e">
        <f t="shared" si="59"/>
        <v>#REF!</v>
      </c>
      <c r="AV75" s="204">
        <f t="shared" si="60"/>
        <v>-3006.2762457142871</v>
      </c>
      <c r="AW75" s="304">
        <f t="shared" si="61"/>
        <v>-0.17811445752004637</v>
      </c>
      <c r="AX75" s="206">
        <v>16674</v>
      </c>
      <c r="AY75" s="206">
        <v>16674</v>
      </c>
      <c r="AZ75" s="206">
        <f t="shared" si="62"/>
        <v>0</v>
      </c>
      <c r="BA75" s="206">
        <f t="shared" si="63"/>
        <v>-3006.2762457142871</v>
      </c>
      <c r="BB75" s="206">
        <f t="shared" si="64"/>
        <v>13872.063039999999</v>
      </c>
      <c r="BC75" s="304">
        <f t="shared" si="65"/>
        <v>-0.1781144575200464</v>
      </c>
      <c r="BD75" s="359"/>
      <c r="BI75" s="200">
        <v>15088</v>
      </c>
      <c r="BJ75" s="206">
        <f t="shared" si="72"/>
        <v>-1586</v>
      </c>
      <c r="BK75" s="200">
        <f t="shared" si="73"/>
        <v>15207</v>
      </c>
      <c r="BL75" s="307">
        <f>'FY 2016 by Agency'!BB76*Inflator!$E$13</f>
        <v>15121.234706475434</v>
      </c>
      <c r="BM75" s="204">
        <f t="shared" si="74"/>
        <v>-1757.1045792388522</v>
      </c>
      <c r="BN75" s="199">
        <f t="shared" si="75"/>
        <v>-0.10410411530985479</v>
      </c>
      <c r="BO75" s="204">
        <f>'FY 2016 by Agency'!AX76*Inflator!$E$13</f>
        <v>16588.972841013121</v>
      </c>
      <c r="BP75" s="204">
        <f t="shared" si="32"/>
        <v>-289.36644470116516</v>
      </c>
      <c r="BQ75" s="199">
        <f t="shared" si="33"/>
        <v>-1.7144248601880102E-2</v>
      </c>
      <c r="BR75" s="204">
        <f>'FY 2016 by Agency'!BE76*Inflator!$E$14</f>
        <v>14964.903754469606</v>
      </c>
      <c r="BS75" s="204">
        <f t="shared" si="34"/>
        <v>-1624.0690865435154</v>
      </c>
      <c r="BT75" s="199">
        <f t="shared" si="35"/>
        <v>-9.790052115392639E-2</v>
      </c>
      <c r="BU75" s="204">
        <f>'FY 2016 by Agency'!BL76*Inflator!$E$14</f>
        <v>14964.903754469606</v>
      </c>
      <c r="BV75" s="204">
        <f t="shared" si="76"/>
        <v>-156.33095200582829</v>
      </c>
      <c r="BW75" s="206">
        <v>17868</v>
      </c>
      <c r="BX75" s="206">
        <f>'FY 2016 by Agency'!BW76*Inflator!E15</f>
        <v>20881.766930518908</v>
      </c>
      <c r="BY75" s="204">
        <f>'FY 2016 by Agency'!BZ76*Inflator!$E$15</f>
        <v>16312.262972735267</v>
      </c>
      <c r="BZ75" s="206">
        <f t="shared" si="37"/>
        <v>2903.0962455303943</v>
      </c>
      <c r="CA75" s="199">
        <f t="shared" si="38"/>
        <v>0.19399364627810045</v>
      </c>
      <c r="CB75" s="308">
        <f>'FY 2016 by Agency'!CF76*Inflator!$E$16</f>
        <v>17666.456829338724</v>
      </c>
      <c r="CC75" s="206">
        <f t="shared" si="67"/>
        <v>1354.1938566034569</v>
      </c>
      <c r="CD75" s="304">
        <f t="shared" si="68"/>
        <v>8.3016921617000111E-2</v>
      </c>
      <c r="CE75" s="206">
        <f>'FY 2016 by Agency'!CK76*Inflator!$E$17</f>
        <v>22581.794842731655</v>
      </c>
      <c r="CF75" s="206">
        <f t="shared" si="77"/>
        <v>4915.3380133929313</v>
      </c>
      <c r="CG75" s="562">
        <f t="shared" si="78"/>
        <v>0.2782299847035552</v>
      </c>
      <c r="CH75" s="206">
        <f>'FY 2016 by Agency'!CN76*Inflator!$E$18</f>
        <v>25610</v>
      </c>
      <c r="CI75" s="753">
        <f t="shared" si="79"/>
        <v>3028.2051572683449</v>
      </c>
      <c r="CJ75" s="66">
        <f t="shared" si="80"/>
        <v>0.134099400794221</v>
      </c>
    </row>
    <row r="76" spans="1:88" ht="18" customHeight="1" x14ac:dyDescent="0.25">
      <c r="A76" s="317" t="s">
        <v>192</v>
      </c>
      <c r="B76" s="302">
        <f>'FY 2016 by Agency'!B77*Inflator!$E$2</f>
        <v>4769.5215311004786</v>
      </c>
      <c r="C76" s="302">
        <f>'FY 2016 by Agency'!C77*Inflator!$E$3</f>
        <v>10701.801004636785</v>
      </c>
      <c r="D76" s="302">
        <f t="shared" si="6"/>
        <v>5932.2794735363068</v>
      </c>
      <c r="E76" s="303">
        <f t="shared" si="7"/>
        <v>1.2437892218022011</v>
      </c>
      <c r="F76" s="204">
        <f>'FY 2016 by Agency'!F77*Inflator!$E$4</f>
        <v>4384.7700799390941</v>
      </c>
      <c r="G76" s="204">
        <f t="shared" si="8"/>
        <v>-6317.0309246976913</v>
      </c>
      <c r="H76" s="199">
        <f t="shared" si="9"/>
        <v>-0.59027736751605653</v>
      </c>
      <c r="I76" s="204">
        <f>'FY 2016 by Agency'!I77*Inflator!$E$5</f>
        <v>7175.1822238750474</v>
      </c>
      <c r="J76" s="204">
        <f t="shared" si="10"/>
        <v>2790.4121439359533</v>
      </c>
      <c r="K76" s="199">
        <f t="shared" si="11"/>
        <v>0.63638733458396368</v>
      </c>
      <c r="L76" s="204">
        <f>'FY 2016 by Agency'!L77*Inflator!$E$6</f>
        <v>5874.0294438386045</v>
      </c>
      <c r="M76" s="204">
        <f t="shared" si="12"/>
        <v>-1301.1527800364429</v>
      </c>
      <c r="N76" s="199">
        <f t="shared" si="13"/>
        <v>-0.18134072967609441</v>
      </c>
      <c r="O76" s="204">
        <f>'FY 2016 by Agency'!O77*Inflator!$E$7</f>
        <v>6195.2323125659968</v>
      </c>
      <c r="P76" s="315">
        <f t="shared" si="69"/>
        <v>321.20286872739234</v>
      </c>
      <c r="Q76" s="304">
        <f t="shared" si="49"/>
        <v>5.4681862220542478E-2</v>
      </c>
      <c r="R76" s="204">
        <f>'FY 2016 by Agency'!R77*Inflator!$E$8</f>
        <v>6585.9317718940938</v>
      </c>
      <c r="S76" s="315">
        <f t="shared" si="50"/>
        <v>390.69945932809696</v>
      </c>
      <c r="T76" s="304">
        <f t="shared" si="51"/>
        <v>6.3064537311317309E-2</v>
      </c>
      <c r="U76" s="204">
        <f>'FY 2016 by Agency'!U77*Inflator!$E$9</f>
        <v>7842.7370689655163</v>
      </c>
      <c r="V76" s="204">
        <f t="shared" si="70"/>
        <v>1256.8052970714225</v>
      </c>
      <c r="W76" s="304">
        <f t="shared" si="71"/>
        <v>0.19083181250600309</v>
      </c>
      <c r="X76" s="204">
        <f>'FY 2016 by Agency'!X77*Inflator!$E$10</f>
        <v>7942.8472530962217</v>
      </c>
      <c r="Y76" s="206">
        <f t="shared" si="52"/>
        <v>100.11018413070542</v>
      </c>
      <c r="Z76" s="304">
        <f t="shared" si="81"/>
        <v>1.2764699778965088E-2</v>
      </c>
      <c r="AA76" s="204">
        <f>'FY 2016 by Agency'!AA77*Inflator!$E$11</f>
        <v>8136.8802166295009</v>
      </c>
      <c r="AB76" s="206">
        <f t="shared" si="54"/>
        <v>194.03296353327914</v>
      </c>
      <c r="AC76" s="304">
        <f>AB76/X76</f>
        <v>2.4428640933217324E-2</v>
      </c>
      <c r="AD76" s="204" t="e">
        <f>'FY 2016 by Agency'!AD77*Inflator!#REF!</f>
        <v>#REF!</v>
      </c>
      <c r="AE76" s="204">
        <f>'FY 2016 by Agency'!AE77*Inflator!$B$8</f>
        <v>0</v>
      </c>
      <c r="AF76" s="204">
        <f>'FY 2016 by Agency'!AF77*Inflator!$E$12</f>
        <v>7545.7565789473692</v>
      </c>
      <c r="AG76" s="204">
        <f t="shared" si="56"/>
        <v>-591.12363768213163</v>
      </c>
      <c r="AH76" s="304">
        <f t="shared" si="57"/>
        <v>-7.2647454791584701E-2</v>
      </c>
      <c r="AI76" s="204">
        <f>'FY 2016 by Agency'!AI77*Inflator!$B$8</f>
        <v>0</v>
      </c>
      <c r="AJ76" s="204">
        <f>'FY 2016 by Agency'!AJ77*Inflator!$B$8</f>
        <v>0</v>
      </c>
      <c r="AK76" s="204">
        <f>'FY 2016 by Agency'!AK77</f>
        <v>0</v>
      </c>
      <c r="AL76" s="204">
        <f>'FY 2016 by Agency'!AL77</f>
        <v>0</v>
      </c>
      <c r="AM76" s="204">
        <f>'FY 2016 by Agency'!AM77</f>
        <v>0</v>
      </c>
      <c r="AN76" s="204">
        <f>'FY 2016 by Agency'!AN77</f>
        <v>0</v>
      </c>
      <c r="AO76" s="204">
        <f>'FY 2016 by Agency'!AO77</f>
        <v>7631</v>
      </c>
      <c r="AP76" s="204">
        <f>'FY 2016 by Agency'!AP77</f>
        <v>0</v>
      </c>
      <c r="AQ76" s="204">
        <f>'FY 2016 by Agency'!AQ77</f>
        <v>0</v>
      </c>
      <c r="AR76" s="204">
        <f>'FY 2016 by Agency'!AR77</f>
        <v>0</v>
      </c>
      <c r="AS76" s="204">
        <f>'FY 2016 by Agency'!AS77</f>
        <v>6956.5019300000004</v>
      </c>
      <c r="AT76" s="204" t="e">
        <f t="shared" si="58"/>
        <v>#REF!</v>
      </c>
      <c r="AU76" s="304" t="e">
        <f t="shared" si="59"/>
        <v>#REF!</v>
      </c>
      <c r="AV76" s="204">
        <f t="shared" si="60"/>
        <v>-589.25464894736888</v>
      </c>
      <c r="AW76" s="304">
        <f t="shared" si="61"/>
        <v>-7.8090863756642634E-2</v>
      </c>
      <c r="AX76" s="206">
        <v>7631</v>
      </c>
      <c r="AY76" s="206">
        <v>7631</v>
      </c>
      <c r="AZ76" s="206">
        <f t="shared" si="62"/>
        <v>0</v>
      </c>
      <c r="BA76" s="206">
        <f t="shared" si="63"/>
        <v>-589.25464894736888</v>
      </c>
      <c r="BB76" s="206">
        <f t="shared" si="64"/>
        <v>6956.5019300000004</v>
      </c>
      <c r="BC76" s="304">
        <f t="shared" si="65"/>
        <v>-7.8090863756642648E-2</v>
      </c>
      <c r="BD76" s="359"/>
      <c r="BH76" s="66">
        <v>288</v>
      </c>
      <c r="BI76" s="200">
        <v>7295</v>
      </c>
      <c r="BJ76" s="206">
        <f t="shared" si="72"/>
        <v>-336</v>
      </c>
      <c r="BK76" s="200">
        <f t="shared" si="73"/>
        <v>7295</v>
      </c>
      <c r="BL76" s="307">
        <f>'FY 2016 by Agency'!BB77*Inflator!$E$13</f>
        <v>7648.5433182148308</v>
      </c>
      <c r="BM76" s="204">
        <f t="shared" si="74"/>
        <v>102.7867392674616</v>
      </c>
      <c r="BN76" s="199">
        <f t="shared" si="75"/>
        <v>1.3621793678613513E-2</v>
      </c>
      <c r="BO76" s="204">
        <f>'FY 2016 by Agency'!AX77*Inflator!$E$13</f>
        <v>8020.7155935306682</v>
      </c>
      <c r="BP76" s="204">
        <f t="shared" si="32"/>
        <v>474.95901458329899</v>
      </c>
      <c r="BQ76" s="199">
        <f t="shared" si="33"/>
        <v>6.2943855876352109E-2</v>
      </c>
      <c r="BR76" s="204">
        <f>'FY 2016 by Agency'!BE77*Inflator!$E$14</f>
        <v>6017.5253277711554</v>
      </c>
      <c r="BS76" s="204">
        <f t="shared" si="34"/>
        <v>-2003.1902657595128</v>
      </c>
      <c r="BT76" s="199">
        <f t="shared" si="35"/>
        <v>-0.24975206294251873</v>
      </c>
      <c r="BU76" s="204">
        <f>'FY 2016 by Agency'!BL77*Inflator!$E$14</f>
        <v>6017.5253277711554</v>
      </c>
      <c r="BV76" s="204">
        <f t="shared" si="76"/>
        <v>-1631.0179904436754</v>
      </c>
      <c r="BW76" s="206">
        <v>8592</v>
      </c>
      <c r="BX76" s="206">
        <f>'FY 2016 by Agency'!BW77*Inflator!E15</f>
        <v>9282.6631486367623</v>
      </c>
      <c r="BY76" s="204">
        <f>'FY 2016 by Agency'!BZ77*Inflator!$E$15</f>
        <v>6214.1451187335088</v>
      </c>
      <c r="BZ76" s="206">
        <f t="shared" si="37"/>
        <v>2574.4746722288446</v>
      </c>
      <c r="CA76" s="199">
        <f t="shared" si="38"/>
        <v>0.4278294700892285</v>
      </c>
      <c r="CB76" s="308">
        <f>'FY 2016 by Agency'!CF77*Inflator!$E$16</f>
        <v>5913.789200115506</v>
      </c>
      <c r="CC76" s="206">
        <f t="shared" si="67"/>
        <v>-300.35591861800276</v>
      </c>
      <c r="CD76" s="304">
        <f t="shared" si="68"/>
        <v>-4.833422987057915E-2</v>
      </c>
      <c r="CE76" s="206">
        <f>'FY 2016 by Agency'!CK77*Inflator!$E$17</f>
        <v>9642.032303768774</v>
      </c>
      <c r="CF76" s="206">
        <f t="shared" si="77"/>
        <v>3728.243103653268</v>
      </c>
      <c r="CG76" s="562">
        <f t="shared" si="78"/>
        <v>0.63043219457001431</v>
      </c>
      <c r="CH76" s="206">
        <f>'FY 2016 by Agency'!CN77*Inflator!$E$18</f>
        <v>0</v>
      </c>
      <c r="CI76" s="753">
        <f t="shared" si="79"/>
        <v>-9642.032303768774</v>
      </c>
      <c r="CJ76" s="66">
        <f t="shared" si="80"/>
        <v>-1</v>
      </c>
    </row>
    <row r="77" spans="1:88" ht="18" customHeight="1" x14ac:dyDescent="0.25">
      <c r="A77" s="317" t="s">
        <v>193</v>
      </c>
      <c r="B77" s="310" t="s">
        <v>132</v>
      </c>
      <c r="C77" s="310" t="s">
        <v>132</v>
      </c>
      <c r="D77" s="310" t="s">
        <v>132</v>
      </c>
      <c r="E77" s="310" t="s">
        <v>132</v>
      </c>
      <c r="F77" s="310" t="s">
        <v>132</v>
      </c>
      <c r="G77" s="310" t="s">
        <v>132</v>
      </c>
      <c r="H77" s="310" t="s">
        <v>132</v>
      </c>
      <c r="I77" s="310" t="s">
        <v>132</v>
      </c>
      <c r="J77" s="310" t="s">
        <v>132</v>
      </c>
      <c r="K77" s="310" t="s">
        <v>132</v>
      </c>
      <c r="L77" s="204" t="e">
        <f>'FY 2016 by Agency'!L78*Inflator!$E$6</f>
        <v>#VALUE!</v>
      </c>
      <c r="M77" s="310" t="s">
        <v>132</v>
      </c>
      <c r="N77" s="310" t="s">
        <v>132</v>
      </c>
      <c r="O77" s="204" t="e">
        <f>'FY 2016 by Agency'!O78*Inflator!$E$7</f>
        <v>#VALUE!</v>
      </c>
      <c r="P77" s="315" t="e">
        <f t="shared" si="69"/>
        <v>#VALUE!</v>
      </c>
      <c r="Q77" s="395" t="s">
        <v>132</v>
      </c>
      <c r="R77" s="204" t="e">
        <f>'FY 2016 by Agency'!R78*Inflator!$E$8</f>
        <v>#VALUE!</v>
      </c>
      <c r="S77" s="315" t="e">
        <f t="shared" si="50"/>
        <v>#VALUE!</v>
      </c>
      <c r="T77" s="395" t="s">
        <v>132</v>
      </c>
      <c r="U77" s="204" t="e">
        <f>'FY 2016 by Agency'!U78*Inflator!$E$9</f>
        <v>#VALUE!</v>
      </c>
      <c r="V77" s="315" t="e">
        <f t="shared" si="70"/>
        <v>#VALUE!</v>
      </c>
      <c r="W77" s="316" t="e">
        <f t="shared" si="71"/>
        <v>#VALUE!</v>
      </c>
      <c r="X77" s="204" t="e">
        <f>'FY 2016 by Agency'!X78*Inflator!$E$10</f>
        <v>#VALUE!</v>
      </c>
      <c r="Y77" s="206" t="e">
        <f t="shared" si="52"/>
        <v>#VALUE!</v>
      </c>
      <c r="Z77" s="304" t="e">
        <f t="shared" si="81"/>
        <v>#VALUE!</v>
      </c>
      <c r="AA77" s="204" t="e">
        <f>'FY 2016 by Agency'!AA78*Inflator!$E$11</f>
        <v>#VALUE!</v>
      </c>
      <c r="AB77" s="206" t="e">
        <f t="shared" si="54"/>
        <v>#VALUE!</v>
      </c>
      <c r="AC77" s="304"/>
      <c r="AD77" s="204" t="e">
        <f>'FY 2016 by Agency'!AD78*Inflator!#REF!</f>
        <v>#REF!</v>
      </c>
      <c r="AE77" s="204">
        <f>'FY 2016 by Agency'!AE78*Inflator!$B$8</f>
        <v>0</v>
      </c>
      <c r="AF77" s="204">
        <f>'FY 2016 by Agency'!AF78*Inflator!$E$12</f>
        <v>0</v>
      </c>
      <c r="AG77" s="204" t="e">
        <f t="shared" si="56"/>
        <v>#VALUE!</v>
      </c>
      <c r="AH77" s="304" t="e">
        <f t="shared" si="57"/>
        <v>#VALUE!</v>
      </c>
      <c r="AI77" s="204">
        <f>'FY 2016 by Agency'!AI78*Inflator!$B$8</f>
        <v>0</v>
      </c>
      <c r="AJ77" s="204">
        <f>'FY 2016 by Agency'!AJ78*Inflator!$B$8</f>
        <v>0</v>
      </c>
      <c r="AK77" s="204">
        <f>'FY 2016 by Agency'!AK78</f>
        <v>0</v>
      </c>
      <c r="AL77" s="204">
        <f>'FY 2016 by Agency'!AL78</f>
        <v>0</v>
      </c>
      <c r="AM77" s="204">
        <f>'FY 2016 by Agency'!AM78</f>
        <v>0</v>
      </c>
      <c r="AN77" s="204">
        <f>'FY 2016 by Agency'!AN78</f>
        <v>0</v>
      </c>
      <c r="AO77" s="204">
        <f>'FY 2016 by Agency'!AO78</f>
        <v>0</v>
      </c>
      <c r="AP77" s="204">
        <f>'FY 2016 by Agency'!AP78</f>
        <v>0</v>
      </c>
      <c r="AQ77" s="204">
        <f>'FY 2016 by Agency'!AQ78</f>
        <v>0</v>
      </c>
      <c r="AR77" s="204">
        <f>'FY 2016 by Agency'!AR78</f>
        <v>0</v>
      </c>
      <c r="AS77" s="204">
        <f>'FY 2016 by Agency'!AS78</f>
        <v>0</v>
      </c>
      <c r="AT77" s="204" t="e">
        <f t="shared" si="58"/>
        <v>#REF!</v>
      </c>
      <c r="AU77" s="304" t="e">
        <f t="shared" si="59"/>
        <v>#REF!</v>
      </c>
      <c r="AV77" s="204">
        <f t="shared" si="60"/>
        <v>0</v>
      </c>
      <c r="AW77" s="304" t="e">
        <f t="shared" si="61"/>
        <v>#DIV/0!</v>
      </c>
      <c r="AX77" s="206"/>
      <c r="AY77" s="206"/>
      <c r="AZ77" s="206">
        <f t="shared" si="62"/>
        <v>0</v>
      </c>
      <c r="BA77" s="206">
        <f t="shared" si="63"/>
        <v>0</v>
      </c>
      <c r="BB77" s="206">
        <f t="shared" si="64"/>
        <v>0</v>
      </c>
      <c r="BC77" s="304" t="e">
        <f t="shared" si="65"/>
        <v>#DIV/0!</v>
      </c>
      <c r="BD77" s="359"/>
      <c r="BI77" s="200"/>
      <c r="BJ77" s="206">
        <f t="shared" si="72"/>
        <v>0</v>
      </c>
      <c r="BK77" s="200">
        <f t="shared" si="73"/>
        <v>0</v>
      </c>
      <c r="BL77" s="307">
        <f>'FY 2016 by Agency'!BB78*Inflator!$E$13</f>
        <v>0</v>
      </c>
      <c r="BM77" s="204">
        <f t="shared" si="74"/>
        <v>0</v>
      </c>
      <c r="BN77" s="199" t="e">
        <f t="shared" si="75"/>
        <v>#DIV/0!</v>
      </c>
      <c r="BO77" s="204">
        <f>'FY 2016 by Agency'!AX78*Inflator!$E$13</f>
        <v>0</v>
      </c>
      <c r="BP77" s="204">
        <f t="shared" si="32"/>
        <v>0</v>
      </c>
      <c r="BQ77" s="199" t="e">
        <f t="shared" si="33"/>
        <v>#DIV/0!</v>
      </c>
      <c r="BR77" s="204">
        <f>'FY 2016 by Agency'!BE78*Inflator!$E$14</f>
        <v>0</v>
      </c>
      <c r="BS77" s="204">
        <f t="shared" si="34"/>
        <v>0</v>
      </c>
      <c r="BT77" s="199" t="e">
        <f t="shared" si="35"/>
        <v>#DIV/0!</v>
      </c>
      <c r="BU77" s="204">
        <f>'FY 2016 by Agency'!BL78*Inflator!$E$14</f>
        <v>0</v>
      </c>
      <c r="BV77" s="204">
        <f t="shared" si="76"/>
        <v>0</v>
      </c>
      <c r="BW77" s="206"/>
      <c r="BX77" s="206">
        <f>'FY 2016 by Agency'!BW78*Inflator!E15</f>
        <v>0</v>
      </c>
      <c r="BY77" s="204">
        <f>'FY 2016 by Agency'!BZ78*Inflator!$E$15</f>
        <v>0</v>
      </c>
      <c r="BZ77" s="206">
        <f t="shared" si="37"/>
        <v>0</v>
      </c>
      <c r="CA77" s="199" t="e">
        <f t="shared" si="38"/>
        <v>#DIV/0!</v>
      </c>
      <c r="CB77" s="308">
        <f>'FY 2016 by Agency'!CF78*Inflator!$E$16</f>
        <v>0</v>
      </c>
      <c r="CC77" s="206">
        <f t="shared" si="67"/>
        <v>0</v>
      </c>
      <c r="CD77" s="304" t="e">
        <f t="shared" si="68"/>
        <v>#DIV/0!</v>
      </c>
      <c r="CE77" s="206">
        <f>'FY 2016 by Agency'!CK78*Inflator!$E$17</f>
        <v>0</v>
      </c>
      <c r="CF77" s="206">
        <f t="shared" si="77"/>
        <v>0</v>
      </c>
      <c r="CG77" s="562" t="e">
        <f t="shared" si="78"/>
        <v>#DIV/0!</v>
      </c>
      <c r="CH77" s="206">
        <f>'FY 2016 by Agency'!CN78*Inflator!$E$18</f>
        <v>0</v>
      </c>
      <c r="CI77" s="753">
        <f t="shared" si="79"/>
        <v>0</v>
      </c>
      <c r="CJ77" s="66" t="e">
        <f t="shared" si="80"/>
        <v>#DIV/0!</v>
      </c>
    </row>
    <row r="78" spans="1:88" ht="18" customHeight="1" x14ac:dyDescent="0.25">
      <c r="A78" s="317" t="s">
        <v>194</v>
      </c>
      <c r="B78" s="310" t="s">
        <v>132</v>
      </c>
      <c r="C78" s="310" t="s">
        <v>132</v>
      </c>
      <c r="D78" s="310" t="s">
        <v>132</v>
      </c>
      <c r="E78" s="310" t="s">
        <v>132</v>
      </c>
      <c r="F78" s="310" t="s">
        <v>132</v>
      </c>
      <c r="G78" s="310" t="s">
        <v>132</v>
      </c>
      <c r="H78" s="310" t="s">
        <v>132</v>
      </c>
      <c r="I78" s="310" t="s">
        <v>132</v>
      </c>
      <c r="J78" s="310" t="s">
        <v>132</v>
      </c>
      <c r="K78" s="310" t="s">
        <v>132</v>
      </c>
      <c r="L78" s="204">
        <f>'FY 2016 by Agency'!L79*Inflator!$E$6</f>
        <v>0</v>
      </c>
      <c r="M78" s="310" t="s">
        <v>132</v>
      </c>
      <c r="N78" s="310" t="s">
        <v>132</v>
      </c>
      <c r="O78" s="204">
        <f>'FY 2016 by Agency'!O79*Inflator!$E$7</f>
        <v>0</v>
      </c>
      <c r="P78" s="315">
        <v>0</v>
      </c>
      <c r="Q78" s="395">
        <v>0</v>
      </c>
      <c r="R78" s="204">
        <f>'FY 2016 by Agency'!R79*Inflator!$E$8</f>
        <v>0</v>
      </c>
      <c r="S78" s="315">
        <v>0</v>
      </c>
      <c r="T78" s="395">
        <v>0</v>
      </c>
      <c r="U78" s="204">
        <f>'FY 2016 by Agency'!U79*Inflator!$E$9</f>
        <v>69885.775862068956</v>
      </c>
      <c r="V78" s="315">
        <f t="shared" si="70"/>
        <v>69885.775862068956</v>
      </c>
      <c r="W78" s="395" t="s">
        <v>132</v>
      </c>
      <c r="X78" s="204">
        <f>'FY 2016 by Agency'!X79*Inflator!$E$10</f>
        <v>80766.01047951731</v>
      </c>
      <c r="Y78" s="206">
        <f t="shared" si="52"/>
        <v>10880.234617448354</v>
      </c>
      <c r="Z78" s="316">
        <f t="shared" si="81"/>
        <v>0.15568596732648832</v>
      </c>
      <c r="AA78" s="204">
        <f>'FY 2016 by Agency'!AA79*Inflator!$E$11</f>
        <v>37619.727620261234</v>
      </c>
      <c r="AB78" s="206">
        <f t="shared" si="54"/>
        <v>-43146.282859256076</v>
      </c>
      <c r="AC78" s="304">
        <f>AB78/X78</f>
        <v>-0.53421337271819569</v>
      </c>
      <c r="AD78" s="204" t="e">
        <f>'FY 2016 by Agency'!AD79*Inflator!#REF!</f>
        <v>#REF!</v>
      </c>
      <c r="AE78" s="204">
        <f>'FY 2016 by Agency'!AE79*Inflator!$B$8</f>
        <v>0</v>
      </c>
      <c r="AF78" s="204">
        <f>'FY 2016 by Agency'!AF79*Inflator!$E$12</f>
        <v>14717.893796992483</v>
      </c>
      <c r="AG78" s="204">
        <f t="shared" si="56"/>
        <v>-22901.833823268753</v>
      </c>
      <c r="AH78" s="304">
        <f t="shared" si="57"/>
        <v>-0.60877192026595861</v>
      </c>
      <c r="AI78" s="204">
        <f>'FY 2016 by Agency'!AI79*Inflator!$B$8</f>
        <v>0</v>
      </c>
      <c r="AJ78" s="204">
        <f>'FY 2016 by Agency'!AJ79*Inflator!$B$8</f>
        <v>0</v>
      </c>
      <c r="AK78" s="204">
        <f>'FY 2016 by Agency'!AK79</f>
        <v>0</v>
      </c>
      <c r="AL78" s="204">
        <f>'FY 2016 by Agency'!AL79</f>
        <v>0</v>
      </c>
      <c r="AM78" s="204">
        <f>'FY 2016 by Agency'!AM79</f>
        <v>0</v>
      </c>
      <c r="AN78" s="204">
        <f>'FY 2016 by Agency'!AN79</f>
        <v>0</v>
      </c>
      <c r="AO78" s="204">
        <f>'FY 2016 by Agency'!AO79</f>
        <v>14384</v>
      </c>
      <c r="AP78" s="204">
        <f>'FY 2016 by Agency'!AP79</f>
        <v>0</v>
      </c>
      <c r="AQ78" s="204">
        <f>'FY 2016 by Agency'!AQ79</f>
        <v>0</v>
      </c>
      <c r="AR78" s="204">
        <f>'FY 2016 by Agency'!AR79</f>
        <v>0</v>
      </c>
      <c r="AS78" s="204">
        <f>'FY 2016 by Agency'!AS79</f>
        <v>34018.224999999999</v>
      </c>
      <c r="AT78" s="204" t="e">
        <f t="shared" si="58"/>
        <v>#REF!</v>
      </c>
      <c r="AU78" s="304" t="e">
        <f t="shared" si="59"/>
        <v>#REF!</v>
      </c>
      <c r="AV78" s="204">
        <f t="shared" si="60"/>
        <v>19300.331203007518</v>
      </c>
      <c r="AW78" s="304">
        <f t="shared" si="61"/>
        <v>1.3113514385428864</v>
      </c>
      <c r="AX78" s="206">
        <v>14384</v>
      </c>
      <c r="AY78" s="206">
        <v>14384</v>
      </c>
      <c r="AZ78" s="206">
        <f t="shared" si="62"/>
        <v>0</v>
      </c>
      <c r="BA78" s="206">
        <f t="shared" si="63"/>
        <v>19300.331203007518</v>
      </c>
      <c r="BB78" s="206">
        <f t="shared" si="64"/>
        <v>34018.224999999999</v>
      </c>
      <c r="BC78" s="304">
        <f t="shared" si="65"/>
        <v>1.3113514385428862</v>
      </c>
      <c r="BD78" s="359"/>
      <c r="BI78" s="200">
        <v>14384</v>
      </c>
      <c r="BJ78" s="206">
        <f t="shared" si="72"/>
        <v>0</v>
      </c>
      <c r="BK78" s="200">
        <f t="shared" si="73"/>
        <v>14384</v>
      </c>
      <c r="BL78" s="307">
        <f>'FY 2016 by Agency'!BB79*Inflator!$E$13</f>
        <v>37402.39996185535</v>
      </c>
      <c r="BM78" s="204">
        <f t="shared" si="74"/>
        <v>22684.506164862869</v>
      </c>
      <c r="BN78" s="199">
        <f t="shared" si="75"/>
        <v>1.5412875291638752</v>
      </c>
      <c r="BO78" s="204">
        <f>'FY 2016 by Agency'!AX79*Inflator!$E$13</f>
        <v>44393.753738175161</v>
      </c>
      <c r="BP78" s="204">
        <f t="shared" si="32"/>
        <v>29675.85994118268</v>
      </c>
      <c r="BQ78" s="199">
        <f t="shared" si="33"/>
        <v>2.0163115966529648</v>
      </c>
      <c r="BR78" s="204">
        <f>'FY 2016 by Agency'!BE79*Inflator!$E$14</f>
        <v>26556.557806912988</v>
      </c>
      <c r="BS78" s="204">
        <f t="shared" si="34"/>
        <v>-17837.195931262173</v>
      </c>
      <c r="BT78" s="199">
        <f t="shared" si="35"/>
        <v>-0.40179517227721112</v>
      </c>
      <c r="BU78" s="204">
        <f>'FY 2016 by Agency'!BL79*Inflator!$E$14</f>
        <v>26556.557806912988</v>
      </c>
      <c r="BV78" s="204">
        <f t="shared" si="76"/>
        <v>-10845.842154942362</v>
      </c>
      <c r="BW78" s="206">
        <v>25460</v>
      </c>
      <c r="BX78" s="206">
        <f>'FY 2016 by Agency'!BW79*Inflator!E15</f>
        <v>26893.104661389618</v>
      </c>
      <c r="BY78" s="204">
        <f>'FY 2016 by Agency'!BZ79*Inflator!$E$15</f>
        <v>106168.61125769568</v>
      </c>
      <c r="BZ78" s="206">
        <f t="shared" si="37"/>
        <v>-1096.5578069129879</v>
      </c>
      <c r="CA78" s="199">
        <f t="shared" si="38"/>
        <v>-4.1291413401007143E-2</v>
      </c>
      <c r="CB78" s="308">
        <f>'FY 2016 by Agency'!CF79*Inflator!$E$16</f>
        <v>40541.293098469534</v>
      </c>
      <c r="CC78" s="206">
        <f t="shared" si="67"/>
        <v>-65627.318159226154</v>
      </c>
      <c r="CD78" s="304">
        <f t="shared" si="68"/>
        <v>-0.61814238108411845</v>
      </c>
      <c r="CE78" s="206">
        <f>'FY 2016 by Agency'!CK79*Inflator!$E$17</f>
        <v>0</v>
      </c>
      <c r="CF78" s="206">
        <f t="shared" si="77"/>
        <v>-40541.293098469534</v>
      </c>
      <c r="CG78" s="562">
        <f t="shared" si="78"/>
        <v>-1</v>
      </c>
      <c r="CH78" s="206">
        <f>'FY 2016 by Agency'!CN79*Inflator!$E$18</f>
        <v>50179</v>
      </c>
      <c r="CI78" s="753">
        <f t="shared" si="79"/>
        <v>50179</v>
      </c>
      <c r="CJ78" s="66" t="e">
        <f t="shared" si="80"/>
        <v>#DIV/0!</v>
      </c>
    </row>
    <row r="79" spans="1:88" s="317" customFormat="1" ht="18" customHeight="1" x14ac:dyDescent="0.25">
      <c r="A79" s="317" t="s">
        <v>195</v>
      </c>
      <c r="B79" s="310" t="s">
        <v>132</v>
      </c>
      <c r="C79" s="310" t="s">
        <v>132</v>
      </c>
      <c r="D79" s="310" t="s">
        <v>132</v>
      </c>
      <c r="E79" s="310" t="s">
        <v>132</v>
      </c>
      <c r="F79" s="310" t="s">
        <v>132</v>
      </c>
      <c r="G79" s="310" t="s">
        <v>132</v>
      </c>
      <c r="H79" s="310" t="s">
        <v>132</v>
      </c>
      <c r="I79" s="310" t="s">
        <v>132</v>
      </c>
      <c r="J79" s="310" t="s">
        <v>132</v>
      </c>
      <c r="K79" s="310" t="s">
        <v>132</v>
      </c>
      <c r="L79" s="310" t="s">
        <v>132</v>
      </c>
      <c r="M79" s="310" t="s">
        <v>132</v>
      </c>
      <c r="N79" s="310" t="s">
        <v>132</v>
      </c>
      <c r="O79" s="310" t="s">
        <v>132</v>
      </c>
      <c r="P79" s="310" t="s">
        <v>132</v>
      </c>
      <c r="Q79" s="310" t="s">
        <v>132</v>
      </c>
      <c r="R79" s="310" t="s">
        <v>132</v>
      </c>
      <c r="S79" s="310" t="s">
        <v>132</v>
      </c>
      <c r="T79" s="310" t="s">
        <v>132</v>
      </c>
      <c r="U79" s="310" t="s">
        <v>132</v>
      </c>
      <c r="V79" s="310" t="s">
        <v>132</v>
      </c>
      <c r="W79" s="310" t="s">
        <v>132</v>
      </c>
      <c r="X79" s="310" t="s">
        <v>132</v>
      </c>
      <c r="Y79" s="310" t="s">
        <v>132</v>
      </c>
      <c r="Z79" s="396" t="s">
        <v>405</v>
      </c>
      <c r="AA79" s="204">
        <f>'FY 2016 by Agency'!AA80*Inflator!$E$11</f>
        <v>2869.5444409047473</v>
      </c>
      <c r="AB79" s="309" t="e">
        <f>AA79-X79</f>
        <v>#VALUE!</v>
      </c>
      <c r="AC79" s="397" t="e">
        <f>AB79/X79</f>
        <v>#VALUE!</v>
      </c>
      <c r="AD79" s="204" t="e">
        <f>'FY 2016 by Agency'!AD80*Inflator!#REF!</f>
        <v>#REF!</v>
      </c>
      <c r="AE79" s="204">
        <f>'FY 2016 by Agency'!AE80*Inflator!$B$8</f>
        <v>0</v>
      </c>
      <c r="AF79" s="204">
        <f>'FY 2016 by Agency'!AF80*Inflator!$E$12</f>
        <v>0</v>
      </c>
      <c r="AG79" s="204">
        <f t="shared" si="56"/>
        <v>-2869.5444409047473</v>
      </c>
      <c r="AH79" s="304">
        <f t="shared" si="57"/>
        <v>-1</v>
      </c>
      <c r="AI79" s="204">
        <f>'FY 2016 by Agency'!AI80*Inflator!$B$8</f>
        <v>0</v>
      </c>
      <c r="AJ79" s="204">
        <f>'FY 2016 by Agency'!AJ80*Inflator!$B$8</f>
        <v>0</v>
      </c>
      <c r="AK79" s="204">
        <f>'FY 2016 by Agency'!AK80</f>
        <v>0</v>
      </c>
      <c r="AL79" s="204">
        <f>'FY 2016 by Agency'!AL80</f>
        <v>0</v>
      </c>
      <c r="AM79" s="204">
        <f>'FY 2016 by Agency'!AM80</f>
        <v>0</v>
      </c>
      <c r="AN79" s="204">
        <f>'FY 2016 by Agency'!AN80</f>
        <v>0</v>
      </c>
      <c r="AO79" s="204">
        <f>'FY 2016 by Agency'!AO80</f>
        <v>0</v>
      </c>
      <c r="AP79" s="204">
        <f>'FY 2016 by Agency'!AP80</f>
        <v>0</v>
      </c>
      <c r="AQ79" s="204">
        <f>'FY 2016 by Agency'!AQ80</f>
        <v>0</v>
      </c>
      <c r="AR79" s="204">
        <f>'FY 2016 by Agency'!AR80</f>
        <v>0</v>
      </c>
      <c r="AS79" s="204">
        <f>'FY 2016 by Agency'!AS80</f>
        <v>0</v>
      </c>
      <c r="AT79" s="204" t="e">
        <f t="shared" si="58"/>
        <v>#REF!</v>
      </c>
      <c r="AU79" s="304" t="e">
        <f t="shared" si="59"/>
        <v>#REF!</v>
      </c>
      <c r="AV79" s="204">
        <f t="shared" si="60"/>
        <v>0</v>
      </c>
      <c r="AW79" s="304" t="e">
        <f t="shared" si="61"/>
        <v>#DIV/0!</v>
      </c>
      <c r="AX79" s="206"/>
      <c r="AY79" s="206"/>
      <c r="AZ79" s="206">
        <f t="shared" si="62"/>
        <v>0</v>
      </c>
      <c r="BA79" s="206">
        <f t="shared" si="63"/>
        <v>0</v>
      </c>
      <c r="BB79" s="206">
        <f t="shared" si="64"/>
        <v>0</v>
      </c>
      <c r="BC79" s="304" t="e">
        <f t="shared" si="65"/>
        <v>#DIV/0!</v>
      </c>
      <c r="BD79" s="359"/>
      <c r="BE79" s="207"/>
      <c r="BI79" s="318"/>
      <c r="BJ79" s="206">
        <f t="shared" si="72"/>
        <v>0</v>
      </c>
      <c r="BK79" s="200">
        <f t="shared" si="73"/>
        <v>0</v>
      </c>
      <c r="BL79" s="307">
        <f>'FY 2016 by Agency'!BB80*Inflator!$E$13</f>
        <v>0</v>
      </c>
      <c r="BM79" s="204">
        <f t="shared" si="74"/>
        <v>0</v>
      </c>
      <c r="BN79" s="199" t="e">
        <f t="shared" si="75"/>
        <v>#DIV/0!</v>
      </c>
      <c r="BO79" s="204">
        <f>'FY 2016 by Agency'!AX80*Inflator!$E$13</f>
        <v>0</v>
      </c>
      <c r="BP79" s="204">
        <f t="shared" si="32"/>
        <v>0</v>
      </c>
      <c r="BQ79" s="199" t="e">
        <f t="shared" si="33"/>
        <v>#DIV/0!</v>
      </c>
      <c r="BR79" s="204">
        <f>'FY 2016 by Agency'!BE80*Inflator!$E$14</f>
        <v>0</v>
      </c>
      <c r="BS79" s="204">
        <f t="shared" si="34"/>
        <v>0</v>
      </c>
      <c r="BT79" s="199" t="e">
        <f t="shared" si="35"/>
        <v>#DIV/0!</v>
      </c>
      <c r="BU79" s="315">
        <f>'FY 2016 by Agency'!BL80*Inflator!$E$14</f>
        <v>0</v>
      </c>
      <c r="BV79" s="204">
        <f t="shared" si="76"/>
        <v>0</v>
      </c>
      <c r="BW79" s="206">
        <v>0</v>
      </c>
      <c r="BX79" s="206">
        <f>'FY 2016 by Agency'!BW80*Inflator!E15</f>
        <v>0</v>
      </c>
      <c r="BY79" s="204">
        <f>'FY 2016 by Agency'!BZ80*Inflator!$E$15</f>
        <v>0</v>
      </c>
      <c r="BZ79" s="206">
        <f t="shared" ref="BZ79:BZ139" si="82">BW79-BR79</f>
        <v>0</v>
      </c>
      <c r="CA79" s="199" t="e">
        <f t="shared" ref="CA79:CA139" si="83">BZ79/BR79</f>
        <v>#DIV/0!</v>
      </c>
      <c r="CB79" s="308">
        <f>'FY 2016 by Agency'!CF80*Inflator!$E$16</f>
        <v>0</v>
      </c>
      <c r="CC79" s="206">
        <f t="shared" si="67"/>
        <v>0</v>
      </c>
      <c r="CD79" s="304" t="e">
        <f t="shared" si="68"/>
        <v>#DIV/0!</v>
      </c>
      <c r="CE79" s="206">
        <f>'FY 2016 by Agency'!CK80*Inflator!$E$17</f>
        <v>0</v>
      </c>
      <c r="CF79" s="206">
        <f t="shared" si="77"/>
        <v>0</v>
      </c>
      <c r="CG79" s="562" t="e">
        <f t="shared" si="78"/>
        <v>#DIV/0!</v>
      </c>
      <c r="CH79" s="206">
        <f>'FY 2016 by Agency'!CN80*Inflator!$E$18</f>
        <v>0</v>
      </c>
      <c r="CI79" s="753">
        <f t="shared" si="79"/>
        <v>0</v>
      </c>
      <c r="CJ79" s="66" t="e">
        <f t="shared" si="80"/>
        <v>#DIV/0!</v>
      </c>
    </row>
    <row r="80" spans="1:88" s="211" customFormat="1" ht="18" customHeight="1" thickBot="1" x14ac:dyDescent="0.3">
      <c r="A80" s="325" t="s">
        <v>196</v>
      </c>
      <c r="B80" s="326" t="s">
        <v>132</v>
      </c>
      <c r="C80" s="326" t="s">
        <v>132</v>
      </c>
      <c r="D80" s="326" t="s">
        <v>132</v>
      </c>
      <c r="E80" s="326" t="s">
        <v>132</v>
      </c>
      <c r="F80" s="326" t="s">
        <v>132</v>
      </c>
      <c r="G80" s="326" t="s">
        <v>132</v>
      </c>
      <c r="H80" s="326" t="s">
        <v>132</v>
      </c>
      <c r="I80" s="326" t="s">
        <v>132</v>
      </c>
      <c r="J80" s="326" t="s">
        <v>132</v>
      </c>
      <c r="K80" s="326" t="s">
        <v>132</v>
      </c>
      <c r="L80" s="326" t="s">
        <v>132</v>
      </c>
      <c r="M80" s="326" t="s">
        <v>132</v>
      </c>
      <c r="N80" s="326" t="s">
        <v>132</v>
      </c>
      <c r="O80" s="326" t="s">
        <v>132</v>
      </c>
      <c r="P80" s="326" t="s">
        <v>132</v>
      </c>
      <c r="Q80" s="326" t="s">
        <v>132</v>
      </c>
      <c r="R80" s="326" t="s">
        <v>132</v>
      </c>
      <c r="S80" s="326" t="s">
        <v>132</v>
      </c>
      <c r="T80" s="326" t="s">
        <v>132</v>
      </c>
      <c r="U80" s="326" t="s">
        <v>132</v>
      </c>
      <c r="V80" s="326" t="s">
        <v>132</v>
      </c>
      <c r="W80" s="326" t="s">
        <v>132</v>
      </c>
      <c r="X80" s="326" t="s">
        <v>132</v>
      </c>
      <c r="Y80" s="326" t="s">
        <v>132</v>
      </c>
      <c r="AA80" s="327">
        <f>'FY 2016 by Agency'!AA81*Inflator!$E$11</f>
        <v>0</v>
      </c>
      <c r="AB80" s="398" t="e">
        <f>AA80-X80</f>
        <v>#VALUE!</v>
      </c>
      <c r="AC80" s="399" t="e">
        <f>AB80/X80</f>
        <v>#VALUE!</v>
      </c>
      <c r="AD80" s="327" t="e">
        <f>'FY 2016 by Agency'!AD81*Inflator!#REF!</f>
        <v>#REF!</v>
      </c>
      <c r="AE80" s="327">
        <f>'FY 2016 by Agency'!AE81*Inflator!$B$8</f>
        <v>0</v>
      </c>
      <c r="AF80" s="327">
        <f>'FY 2016 by Agency'!AF81*Inflator!$E$12</f>
        <v>0</v>
      </c>
      <c r="AG80" s="327">
        <f t="shared" si="56"/>
        <v>0</v>
      </c>
      <c r="AH80" s="328" t="e">
        <f t="shared" si="57"/>
        <v>#DIV/0!</v>
      </c>
      <c r="AI80" s="327">
        <f>'FY 2016 by Agency'!AI81*Inflator!$B$8</f>
        <v>0</v>
      </c>
      <c r="AJ80" s="327">
        <f>'FY 2016 by Agency'!AJ81*Inflator!$B$8</f>
        <v>0</v>
      </c>
      <c r="AK80" s="327">
        <f>'FY 2016 by Agency'!AK81</f>
        <v>0</v>
      </c>
      <c r="AL80" s="327">
        <f>'FY 2016 by Agency'!AL81</f>
        <v>0</v>
      </c>
      <c r="AM80" s="327">
        <f>'FY 2016 by Agency'!AM81</f>
        <v>0</v>
      </c>
      <c r="AN80" s="327">
        <f>'FY 2016 by Agency'!AN81</f>
        <v>0</v>
      </c>
      <c r="AO80" s="327">
        <f>'FY 2016 by Agency'!AO81</f>
        <v>23000</v>
      </c>
      <c r="AP80" s="327">
        <f>'FY 2016 by Agency'!AP81</f>
        <v>0</v>
      </c>
      <c r="AQ80" s="327">
        <f>'FY 2016 by Agency'!AQ81</f>
        <v>0</v>
      </c>
      <c r="AR80" s="327">
        <f>'FY 2016 by Agency'!AR81</f>
        <v>0</v>
      </c>
      <c r="AS80" s="327">
        <f>'FY 2016 by Agency'!AS81</f>
        <v>20787.692579999999</v>
      </c>
      <c r="AT80" s="327" t="e">
        <f t="shared" si="58"/>
        <v>#REF!</v>
      </c>
      <c r="AU80" s="328" t="e">
        <f t="shared" si="59"/>
        <v>#REF!</v>
      </c>
      <c r="AV80" s="327">
        <f t="shared" si="60"/>
        <v>20787.692579999999</v>
      </c>
      <c r="AW80" s="328" t="e">
        <f t="shared" si="61"/>
        <v>#DIV/0!</v>
      </c>
      <c r="AX80" s="333">
        <v>23000</v>
      </c>
      <c r="AY80" s="333">
        <v>23000</v>
      </c>
      <c r="AZ80" s="333">
        <f t="shared" si="62"/>
        <v>0</v>
      </c>
      <c r="BA80" s="333">
        <f t="shared" si="63"/>
        <v>20787.692579999999</v>
      </c>
      <c r="BB80" s="333">
        <f t="shared" si="64"/>
        <v>20787.692579999999</v>
      </c>
      <c r="BC80" s="328" t="e">
        <f t="shared" si="65"/>
        <v>#DIV/0!</v>
      </c>
      <c r="BD80" s="400"/>
      <c r="BE80" s="329"/>
      <c r="BI80" s="331">
        <v>23000</v>
      </c>
      <c r="BJ80" s="333">
        <f t="shared" si="72"/>
        <v>0</v>
      </c>
      <c r="BK80" s="331">
        <f t="shared" si="73"/>
        <v>23000</v>
      </c>
      <c r="BL80" s="332">
        <f>'FY 2016 by Agency'!BB81*Inflator!$E$13</f>
        <v>22855.677865651509</v>
      </c>
      <c r="BM80" s="327">
        <f t="shared" si="74"/>
        <v>22855.677865651509</v>
      </c>
      <c r="BN80" s="212" t="e">
        <f t="shared" si="75"/>
        <v>#DIV/0!</v>
      </c>
      <c r="BO80" s="327">
        <f>'FY 2016 by Agency'!AX81*Inflator!$E$13</f>
        <v>25288.06835520293</v>
      </c>
      <c r="BP80" s="327">
        <f t="shared" ref="BP80:BP141" si="84">BO80-AF80</f>
        <v>25288.06835520293</v>
      </c>
      <c r="BQ80" s="212" t="e">
        <f t="shared" ref="BQ80:BQ141" si="85">BP80/AF80</f>
        <v>#DIV/0!</v>
      </c>
      <c r="BR80" s="327">
        <f>'FY 2016 by Agency'!BE81*Inflator!$E$14</f>
        <v>23943.416567342072</v>
      </c>
      <c r="BS80" s="327">
        <f t="shared" ref="BS80:BS141" si="86">BR80-BO80</f>
        <v>-1344.6517878608574</v>
      </c>
      <c r="BT80" s="212">
        <f t="shared" ref="BT80:BT141" si="87">BS80/BO80</f>
        <v>-5.317336891744838E-2</v>
      </c>
      <c r="BU80" s="327">
        <f>'FY 2016 by Agency'!BL81*Inflator!$E$14</f>
        <v>23943.416567342072</v>
      </c>
      <c r="BV80" s="327">
        <f t="shared" si="76"/>
        <v>1087.7387016905632</v>
      </c>
      <c r="BW80" s="333">
        <v>23000</v>
      </c>
      <c r="BX80" s="333">
        <f>'FY 2016 by Agency'!BW81*Inflator!E15</f>
        <v>24294.635004397536</v>
      </c>
      <c r="BY80" s="327">
        <f>'FY 2016 by Agency'!BZ81*Inflator!$E$15</f>
        <v>24600.958663148635</v>
      </c>
      <c r="BZ80" s="333">
        <f t="shared" si="82"/>
        <v>-943.41656734207209</v>
      </c>
      <c r="CA80" s="212">
        <f t="shared" si="83"/>
        <v>-3.9401919299556318E-2</v>
      </c>
      <c r="CB80" s="308">
        <f>'FY 2016 by Agency'!CF81*Inflator!$E$16</f>
        <v>23246.268842044468</v>
      </c>
      <c r="CC80" s="413">
        <f t="shared" si="67"/>
        <v>-1354.6898211041662</v>
      </c>
      <c r="CD80" s="316">
        <f t="shared" si="68"/>
        <v>-5.5066545968935898E-2</v>
      </c>
      <c r="CE80" s="206">
        <f>'FY 2016 by Agency'!CK81*Inflator!$E$17</f>
        <v>25524.227826579772</v>
      </c>
      <c r="CF80" s="333">
        <f t="shared" si="77"/>
        <v>2277.9589845353039</v>
      </c>
      <c r="CG80" s="675">
        <f t="shared" si="78"/>
        <v>9.7992456338423795E-2</v>
      </c>
      <c r="CH80" s="206">
        <f>'FY 2016 by Agency'!CN81*Inflator!$E$18</f>
        <v>28000</v>
      </c>
      <c r="CI80" s="753">
        <f t="shared" si="79"/>
        <v>2475.7721734202278</v>
      </c>
      <c r="CJ80" s="66">
        <f t="shared" si="80"/>
        <v>9.6996946988620394E-2</v>
      </c>
    </row>
    <row r="81" spans="1:88" s="65" customFormat="1" ht="18" customHeight="1" x14ac:dyDescent="0.25">
      <c r="A81" s="363" t="s">
        <v>197</v>
      </c>
      <c r="B81" s="336">
        <f>'FY 2016 by Agency'!B82*Inflator!$E$2</f>
        <v>130005.37679425837</v>
      </c>
      <c r="C81" s="336">
        <f>'FY 2016 by Agency'!C82*Inflator!$E$3</f>
        <v>149176.4513137558</v>
      </c>
      <c r="D81" s="336">
        <f>C81-B81</f>
        <v>19171.07451949743</v>
      </c>
      <c r="E81" s="337">
        <f>(C81-B81)/B81</f>
        <v>0.14746370490381219</v>
      </c>
      <c r="F81" s="338">
        <f>'FY 2016 by Agency'!F82*Inflator!$E$4</f>
        <v>156661.23791397031</v>
      </c>
      <c r="G81" s="338">
        <f>F81-C81</f>
        <v>7484.7866002145165</v>
      </c>
      <c r="H81" s="339">
        <f>(F81-C81)/C81</f>
        <v>5.0174049149836107E-2</v>
      </c>
      <c r="I81" s="338">
        <f>'FY 2016 by Agency'!I82*Inflator!$E$5</f>
        <v>180811.91223503163</v>
      </c>
      <c r="J81" s="338">
        <f>I81-F81</f>
        <v>24150.67432106132</v>
      </c>
      <c r="K81" s="339">
        <f>(I81-F81)/F81</f>
        <v>0.15415858219072376</v>
      </c>
      <c r="L81" s="338">
        <f>'FY 2016 by Agency'!L82*Inflator!$E$6</f>
        <v>198165</v>
      </c>
      <c r="M81" s="338">
        <f>L81-I81</f>
        <v>17353.087764968368</v>
      </c>
      <c r="N81" s="339">
        <f>(L81-I81)/I81</f>
        <v>9.5973144415461092E-2</v>
      </c>
      <c r="O81" s="338">
        <f>'FY 2016 by Agency'!O82*Inflator!$E$7</f>
        <v>250587.95248152057</v>
      </c>
      <c r="P81" s="338">
        <f t="shared" si="69"/>
        <v>52422.952481520566</v>
      </c>
      <c r="Q81" s="342">
        <f t="shared" si="49"/>
        <v>0.26454193465809084</v>
      </c>
      <c r="R81" s="338">
        <f>'FY 2016 by Agency'!R82*Inflator!$E$8</f>
        <v>307909.73828920571</v>
      </c>
      <c r="S81" s="338">
        <f t="shared" si="50"/>
        <v>57321.785807685141</v>
      </c>
      <c r="T81" s="342">
        <f t="shared" si="51"/>
        <v>0.22874916866529046</v>
      </c>
      <c r="U81" s="338">
        <f>'FY 2016 by Agency'!U82*Inflator!$E$9</f>
        <v>445966.82029177714</v>
      </c>
      <c r="V81" s="338">
        <f>R81-U81</f>
        <v>-138057.08200257143</v>
      </c>
      <c r="W81" s="342">
        <f>V81/R81</f>
        <v>-0.44836867703385419</v>
      </c>
      <c r="X81" s="338">
        <f>'FY 2016 by Agency'!X82*Inflator!$E$10</f>
        <v>461399.10447761195</v>
      </c>
      <c r="Y81" s="338">
        <f>U81-X81</f>
        <v>-15432.284185834811</v>
      </c>
      <c r="Z81" s="342">
        <f>Y81/U81</f>
        <v>-3.4604108385772117E-2</v>
      </c>
      <c r="AA81" s="338">
        <f>'FY 2016 by Agency'!AA82*Inflator!$E$11</f>
        <v>448820.85473080608</v>
      </c>
      <c r="AB81" s="340">
        <f>AA81-X81</f>
        <v>-12578.249746805872</v>
      </c>
      <c r="AC81" s="341">
        <f>AB81/X81</f>
        <v>-2.7261105677798721E-2</v>
      </c>
      <c r="AD81" s="338" t="e">
        <f>'FY 2016 by Agency'!AD82*Inflator!#REF!</f>
        <v>#REF!</v>
      </c>
      <c r="AE81" s="338">
        <f>SUM(AE58:AE80)</f>
        <v>0</v>
      </c>
      <c r="AF81" s="338">
        <f>'FY 2016 by Agency'!AF82*Inflator!$E$12</f>
        <v>300097.61748120305</v>
      </c>
      <c r="AG81" s="338">
        <f>AF81-AA81</f>
        <v>-148723.23724960303</v>
      </c>
      <c r="AH81" s="342">
        <f>AG81/AA81</f>
        <v>-0.3313643643827654</v>
      </c>
      <c r="AI81" s="338">
        <f t="shared" ref="AI81:AS81" si="88">SUM(AI58:AI80)</f>
        <v>0</v>
      </c>
      <c r="AJ81" s="338">
        <f t="shared" si="88"/>
        <v>0</v>
      </c>
      <c r="AK81" s="338">
        <f t="shared" si="88"/>
        <v>96729</v>
      </c>
      <c r="AL81" s="338">
        <f t="shared" si="88"/>
        <v>40131</v>
      </c>
      <c r="AM81" s="338">
        <f t="shared" si="88"/>
        <v>136860</v>
      </c>
      <c r="AN81" s="338">
        <f t="shared" si="88"/>
        <v>102735</v>
      </c>
      <c r="AO81" s="338">
        <f t="shared" si="88"/>
        <v>262932</v>
      </c>
      <c r="AP81" s="338">
        <f t="shared" si="88"/>
        <v>19495</v>
      </c>
      <c r="AQ81" s="338">
        <f t="shared" si="88"/>
        <v>2148</v>
      </c>
      <c r="AR81" s="338">
        <f t="shared" si="88"/>
        <v>21643</v>
      </c>
      <c r="AS81" s="338">
        <f t="shared" si="88"/>
        <v>277041.65782999998</v>
      </c>
      <c r="AT81" s="338" t="e">
        <f t="shared" si="58"/>
        <v>#REF!</v>
      </c>
      <c r="AU81" s="342" t="e">
        <f t="shared" si="59"/>
        <v>#REF!</v>
      </c>
      <c r="AV81" s="338">
        <f t="shared" si="60"/>
        <v>-23055.959651203069</v>
      </c>
      <c r="AW81" s="342">
        <f t="shared" si="61"/>
        <v>-7.6828199586246981E-2</v>
      </c>
      <c r="AX81" s="352"/>
      <c r="AY81" s="352">
        <f>SUM(AY58:AY80)</f>
        <v>266785</v>
      </c>
      <c r="AZ81" s="352">
        <f>SUM(AZ58:AZ80)</f>
        <v>3853</v>
      </c>
      <c r="BA81" s="352"/>
      <c r="BB81" s="352">
        <f>SUM(BB58:BB80)</f>
        <v>280894.65782999998</v>
      </c>
      <c r="BC81" s="342">
        <f t="shared" si="65"/>
        <v>-6.3989044006341977E-2</v>
      </c>
      <c r="BD81" s="352">
        <f>SUM(BD58:BD80)</f>
        <v>5093.1750000000002</v>
      </c>
      <c r="BE81" s="339">
        <f>BD81/AY81</f>
        <v>1.9090934647750062E-2</v>
      </c>
      <c r="BF81" s="339">
        <f>(BB81-X81)/X81</f>
        <v>-0.3912110901298258</v>
      </c>
      <c r="BG81" s="363"/>
      <c r="BH81" s="363"/>
      <c r="BI81" s="401">
        <f>SUM(BI58:BI80)</f>
        <v>256884</v>
      </c>
      <c r="BJ81" s="352">
        <f t="shared" si="72"/>
        <v>-9901</v>
      </c>
      <c r="BK81" s="401">
        <f>SUM(BK58:BK80)</f>
        <v>305320</v>
      </c>
      <c r="BL81" s="402">
        <f>SUM(BL58:BL80)</f>
        <v>280806.03117530968</v>
      </c>
      <c r="BM81" s="338">
        <f t="shared" si="74"/>
        <v>-19291.586305893376</v>
      </c>
      <c r="BN81" s="339">
        <f t="shared" si="75"/>
        <v>-6.4284370092014223E-2</v>
      </c>
      <c r="BO81" s="338">
        <f>'FY 2016 by Agency'!AX82*Inflator!$E$13</f>
        <v>314344.98291119927</v>
      </c>
      <c r="BP81" s="338">
        <f t="shared" si="84"/>
        <v>14247.365429996222</v>
      </c>
      <c r="BQ81" s="339">
        <f t="shared" si="85"/>
        <v>4.7475769883073532E-2</v>
      </c>
      <c r="BR81" s="338">
        <f>'FY 2016 by Agency'!BE82*Inflator!$E$14</f>
        <v>256667.58522050056</v>
      </c>
      <c r="BS81" s="338">
        <f t="shared" si="86"/>
        <v>-57677.397690698708</v>
      </c>
      <c r="BT81" s="339">
        <f t="shared" si="87"/>
        <v>-0.18348439080063911</v>
      </c>
      <c r="BU81" s="338">
        <f>SUM(BU58:BU80)</f>
        <v>275875.3542908224</v>
      </c>
      <c r="BV81" s="338">
        <f t="shared" si="76"/>
        <v>-4930.6768844872713</v>
      </c>
      <c r="BW81" s="352">
        <f>SUM(BW58:BW80)</f>
        <v>297349</v>
      </c>
      <c r="BX81" s="338">
        <f>SUM(BX58:BX80)</f>
        <v>343588.45998240978</v>
      </c>
      <c r="BY81" s="338">
        <f>'FY 2016 by Agency'!BZ82*Inflator!$E$15</f>
        <v>373388.47053649952</v>
      </c>
      <c r="BZ81" s="352">
        <f t="shared" si="82"/>
        <v>40681.414779499435</v>
      </c>
      <c r="CA81" s="339">
        <f t="shared" si="83"/>
        <v>0.15849845139015289</v>
      </c>
      <c r="CB81" s="674">
        <f>'FY 2016 by Agency'!CF82*Inflator!$E$16</f>
        <v>442730.98007507937</v>
      </c>
      <c r="CC81" s="600">
        <f t="shared" si="67"/>
        <v>69342.509538579849</v>
      </c>
      <c r="CD81" s="601">
        <f t="shared" si="68"/>
        <v>0.18571143731070686</v>
      </c>
      <c r="CE81" s="206">
        <f>'FY 2016 by Agency'!CK82*Inflator!$E$17</f>
        <v>381480.00425049593</v>
      </c>
      <c r="CF81" s="368">
        <f>CE81-CB81</f>
        <v>-61250.975824583438</v>
      </c>
      <c r="CG81" s="562">
        <f>CF81/CB81</f>
        <v>-0.13834806819752338</v>
      </c>
      <c r="CH81" s="206">
        <f>'FY 2016 by Agency'!CN82*Inflator!$E$18</f>
        <v>423346</v>
      </c>
      <c r="CI81" s="753">
        <f t="shared" si="79"/>
        <v>41865.995749504073</v>
      </c>
      <c r="CJ81" s="66">
        <f t="shared" si="80"/>
        <v>0.10974623907682744</v>
      </c>
    </row>
    <row r="82" spans="1:88" s="65" customFormat="1" ht="18" customHeight="1" x14ac:dyDescent="0.25">
      <c r="A82" s="363"/>
      <c r="B82" s="302"/>
      <c r="C82" s="302"/>
      <c r="D82" s="302"/>
      <c r="E82" s="303"/>
      <c r="F82" s="204"/>
      <c r="G82" s="204"/>
      <c r="H82" s="199"/>
      <c r="I82" s="204"/>
      <c r="J82" s="204"/>
      <c r="K82" s="199"/>
      <c r="L82" s="204"/>
      <c r="M82" s="204"/>
      <c r="N82" s="199"/>
      <c r="O82" s="204"/>
      <c r="P82" s="358"/>
      <c r="Q82" s="356"/>
      <c r="R82" s="204"/>
      <c r="S82" s="204"/>
      <c r="T82" s="304"/>
      <c r="U82" s="204"/>
      <c r="V82" s="204"/>
      <c r="W82" s="304"/>
      <c r="X82" s="204"/>
      <c r="Y82" s="206"/>
      <c r="Z82" s="304"/>
      <c r="AA82" s="204"/>
      <c r="AC82" s="365"/>
      <c r="AD82" s="204"/>
      <c r="AE82" s="403"/>
      <c r="AF82" s="204"/>
      <c r="AG82" s="404"/>
      <c r="AH82" s="404"/>
      <c r="AI82" s="404"/>
      <c r="AM82" s="307"/>
      <c r="AN82" s="374"/>
      <c r="AO82" s="367"/>
      <c r="AP82" s="358"/>
      <c r="AQ82" s="358"/>
      <c r="AR82" s="358"/>
      <c r="AS82" s="304"/>
      <c r="AT82" s="204"/>
      <c r="AU82" s="368"/>
      <c r="AV82" s="367"/>
      <c r="AW82" s="354"/>
      <c r="AZ82" s="368"/>
      <c r="BA82" s="368"/>
      <c r="BD82" s="369"/>
      <c r="BE82" s="370"/>
      <c r="BI82" s="365"/>
      <c r="BK82" s="371"/>
      <c r="BL82" s="405"/>
      <c r="BM82" s="358"/>
      <c r="BN82" s="199"/>
      <c r="BP82" s="204"/>
      <c r="BQ82" s="66"/>
      <c r="BR82" s="204"/>
      <c r="BS82" s="204"/>
      <c r="BT82" s="66"/>
      <c r="BU82" s="204"/>
      <c r="BV82" s="204"/>
      <c r="BW82" s="206"/>
      <c r="BY82" s="206"/>
      <c r="BZ82" s="206"/>
      <c r="CA82" s="199"/>
      <c r="CB82" s="695">
        <f>CB81-(CB63+CB64+CB65+CB78)</f>
        <v>280358.7626335547</v>
      </c>
      <c r="CC82" s="206"/>
      <c r="CD82" s="304"/>
      <c r="CE82" s="206">
        <f>'FY 2016 by Agency'!CK83*Inflator!$E$17</f>
        <v>221330.78917540383</v>
      </c>
      <c r="CF82" s="206">
        <f>CE82-CB82</f>
        <v>-59027.973458150867</v>
      </c>
      <c r="CG82" s="562">
        <f>CF82/CB82</f>
        <v>-0.21054442138234103</v>
      </c>
      <c r="CH82" s="753">
        <f>'FY 2016 by Agency'!CN81*Inflator!$E$18</f>
        <v>28000</v>
      </c>
      <c r="CI82" s="753">
        <f t="shared" si="79"/>
        <v>-193330.78917540383</v>
      </c>
      <c r="CJ82" s="66">
        <f t="shared" si="80"/>
        <v>-0.87349252173943992</v>
      </c>
    </row>
    <row r="83" spans="1:88" s="65" customFormat="1" ht="18" customHeight="1" x14ac:dyDescent="0.25">
      <c r="A83" s="363"/>
      <c r="B83" s="302"/>
      <c r="C83" s="302"/>
      <c r="D83" s="302"/>
      <c r="E83" s="303"/>
      <c r="F83" s="204"/>
      <c r="G83" s="204"/>
      <c r="H83" s="199"/>
      <c r="I83" s="204"/>
      <c r="J83" s="204"/>
      <c r="K83" s="199"/>
      <c r="L83" s="204"/>
      <c r="M83" s="204"/>
      <c r="N83" s="199"/>
      <c r="O83" s="204"/>
      <c r="P83" s="358"/>
      <c r="Q83" s="356"/>
      <c r="R83" s="204"/>
      <c r="S83" s="204"/>
      <c r="T83" s="304"/>
      <c r="U83" s="204"/>
      <c r="V83" s="204"/>
      <c r="W83" s="304"/>
      <c r="X83" s="204"/>
      <c r="Y83" s="206"/>
      <c r="Z83" s="304"/>
      <c r="AA83" s="204"/>
      <c r="AC83" s="365"/>
      <c r="AD83" s="204"/>
      <c r="AE83" s="403"/>
      <c r="AF83" s="204"/>
      <c r="AG83" s="404"/>
      <c r="AH83" s="404"/>
      <c r="AI83" s="404"/>
      <c r="AM83" s="307"/>
      <c r="AN83" s="374"/>
      <c r="AO83" s="367"/>
      <c r="AP83" s="358"/>
      <c r="AQ83" s="358"/>
      <c r="AR83" s="358"/>
      <c r="AS83" s="204"/>
      <c r="AT83" s="204">
        <f>AR81-AD83</f>
        <v>21643</v>
      </c>
      <c r="AU83" s="356" t="e">
        <f>AT83/AD83</f>
        <v>#DIV/0!</v>
      </c>
      <c r="AV83" s="358">
        <f>AS81-AF83</f>
        <v>277041.65782999998</v>
      </c>
      <c r="AW83" s="355" t="e">
        <f>AV83/AF83</f>
        <v>#DIV/0!</v>
      </c>
      <c r="AX83" s="368"/>
      <c r="AZ83" s="368">
        <f>+AS81+AZ81</f>
        <v>280894.65782999998</v>
      </c>
      <c r="BD83" s="369"/>
      <c r="BE83" s="370"/>
      <c r="BI83" s="365"/>
      <c r="BK83" s="371"/>
      <c r="BL83" s="405"/>
      <c r="BM83" s="358"/>
      <c r="BN83" s="199"/>
      <c r="BP83" s="204"/>
      <c r="BQ83" s="66"/>
      <c r="BR83" s="204"/>
      <c r="BS83" s="204"/>
      <c r="BT83" s="66"/>
      <c r="BU83" s="204"/>
      <c r="BV83" s="204"/>
      <c r="BW83" s="206"/>
      <c r="BY83" s="206"/>
      <c r="BZ83" s="206"/>
      <c r="CA83" s="199"/>
      <c r="CC83" s="206"/>
      <c r="CD83" s="356"/>
      <c r="CG83" s="624"/>
    </row>
    <row r="84" spans="1:88" s="65" customFormat="1" ht="18" customHeight="1" x14ac:dyDescent="0.25">
      <c r="A84" s="363"/>
      <c r="B84" s="302"/>
      <c r="C84" s="302"/>
      <c r="D84" s="302"/>
      <c r="E84" s="303"/>
      <c r="F84" s="204"/>
      <c r="G84" s="204"/>
      <c r="H84" s="199"/>
      <c r="I84" s="204"/>
      <c r="J84" s="204"/>
      <c r="K84" s="199"/>
      <c r="L84" s="204"/>
      <c r="M84" s="204"/>
      <c r="N84" s="199"/>
      <c r="O84" s="204"/>
      <c r="P84" s="358"/>
      <c r="Q84" s="356"/>
      <c r="R84" s="204"/>
      <c r="S84" s="204"/>
      <c r="T84" s="304"/>
      <c r="U84" s="204"/>
      <c r="V84" s="204"/>
      <c r="W84" s="304"/>
      <c r="X84" s="204"/>
      <c r="Y84" s="206"/>
      <c r="Z84" s="304"/>
      <c r="AA84" s="204"/>
      <c r="AC84" s="365"/>
      <c r="AD84" s="204"/>
      <c r="AE84" s="403"/>
      <c r="AF84" s="404"/>
      <c r="AG84" s="404"/>
      <c r="AH84" s="404"/>
      <c r="AI84" s="404"/>
      <c r="AM84" s="307"/>
      <c r="AN84" s="374"/>
      <c r="AO84" s="367"/>
      <c r="AP84" s="358"/>
      <c r="AQ84" s="358"/>
      <c r="AR84" s="358"/>
      <c r="AS84" s="204"/>
      <c r="AT84" s="204"/>
      <c r="AU84" s="368"/>
      <c r="AV84" s="367"/>
      <c r="AW84" s="354"/>
      <c r="BD84" s="369"/>
      <c r="BE84" s="370"/>
      <c r="BI84" s="365"/>
      <c r="BK84" s="371"/>
      <c r="BL84" s="405"/>
      <c r="BM84" s="358"/>
      <c r="BN84" s="199"/>
      <c r="BP84" s="204"/>
      <c r="BQ84" s="66"/>
      <c r="BR84" s="204"/>
      <c r="BS84" s="204"/>
      <c r="BT84" s="66"/>
      <c r="BU84" s="204"/>
      <c r="BV84" s="204"/>
      <c r="BW84" s="206"/>
      <c r="BX84" s="358"/>
      <c r="BY84" s="206"/>
      <c r="BZ84" s="206"/>
      <c r="CA84" s="199"/>
      <c r="CC84" s="206"/>
      <c r="CD84" s="356"/>
      <c r="CG84" s="624"/>
    </row>
    <row r="85" spans="1:88" s="65" customFormat="1" ht="18" customHeight="1" x14ac:dyDescent="0.25">
      <c r="A85" s="373" t="s">
        <v>199</v>
      </c>
      <c r="B85" s="302"/>
      <c r="C85" s="302"/>
      <c r="D85" s="302"/>
      <c r="E85" s="303"/>
      <c r="F85" s="204"/>
      <c r="G85" s="204"/>
      <c r="H85" s="199"/>
      <c r="I85" s="204"/>
      <c r="J85" s="204"/>
      <c r="K85" s="199"/>
      <c r="L85" s="204"/>
      <c r="M85" s="204"/>
      <c r="N85" s="199"/>
      <c r="O85" s="204"/>
      <c r="P85" s="358"/>
      <c r="Q85" s="356"/>
      <c r="R85" s="204"/>
      <c r="S85" s="204"/>
      <c r="T85" s="304"/>
      <c r="U85" s="204"/>
      <c r="V85" s="204"/>
      <c r="W85" s="304"/>
      <c r="X85" s="204"/>
      <c r="AA85" s="204"/>
      <c r="AC85" s="365"/>
      <c r="AD85" s="204"/>
      <c r="AE85" s="403"/>
      <c r="AF85" s="404"/>
      <c r="AG85" s="404"/>
      <c r="AH85" s="404"/>
      <c r="AI85" s="404"/>
      <c r="AM85" s="307"/>
      <c r="AN85" s="374"/>
      <c r="AO85" s="367"/>
      <c r="AP85" s="358"/>
      <c r="AQ85" s="358"/>
      <c r="AR85" s="358"/>
      <c r="AS85" s="204"/>
      <c r="AT85" s="204"/>
      <c r="AU85" s="368"/>
      <c r="AV85" s="367"/>
      <c r="AW85" s="354"/>
      <c r="BD85" s="369"/>
      <c r="BE85" s="370"/>
      <c r="BI85" s="365"/>
      <c r="BK85" s="371"/>
      <c r="BL85" s="405"/>
      <c r="BM85" s="358"/>
      <c r="BN85" s="199"/>
      <c r="BP85" s="204"/>
      <c r="BQ85" s="66"/>
      <c r="BR85" s="204"/>
      <c r="BS85" s="204"/>
      <c r="BT85" s="66"/>
      <c r="BU85" s="204"/>
      <c r="BV85" s="204"/>
      <c r="BW85" s="206"/>
      <c r="BY85" s="206"/>
      <c r="BZ85" s="206"/>
      <c r="CA85" s="199"/>
      <c r="CC85" s="206"/>
      <c r="CD85" s="356"/>
      <c r="CG85" s="624"/>
    </row>
    <row r="86" spans="1:88" s="65" customFormat="1" ht="18" customHeight="1" x14ac:dyDescent="0.25">
      <c r="A86" s="373" t="s">
        <v>200</v>
      </c>
      <c r="B86" s="302"/>
      <c r="C86" s="302"/>
      <c r="D86" s="302"/>
      <c r="E86" s="303"/>
      <c r="F86" s="204"/>
      <c r="G86" s="204"/>
      <c r="H86" s="199"/>
      <c r="I86" s="204"/>
      <c r="J86" s="204"/>
      <c r="K86" s="199"/>
      <c r="L86" s="204"/>
      <c r="M86" s="204"/>
      <c r="N86" s="199"/>
      <c r="O86" s="204"/>
      <c r="P86" s="358"/>
      <c r="Q86" s="356"/>
      <c r="R86" s="204"/>
      <c r="S86" s="204"/>
      <c r="T86" s="304"/>
      <c r="U86" s="204"/>
      <c r="V86" s="204"/>
      <c r="W86" s="304"/>
      <c r="X86" s="204"/>
      <c r="AA86" s="204"/>
      <c r="AC86" s="365"/>
      <c r="AD86" s="204"/>
      <c r="AE86" s="403"/>
      <c r="AF86" s="404"/>
      <c r="AG86" s="404"/>
      <c r="AH86" s="404"/>
      <c r="AI86" s="404"/>
      <c r="AM86" s="307"/>
      <c r="AN86" s="374"/>
      <c r="AO86" s="367"/>
      <c r="AP86" s="358"/>
      <c r="AQ86" s="358"/>
      <c r="AR86" s="358"/>
      <c r="AS86" s="204"/>
      <c r="AT86" s="204"/>
      <c r="AU86" s="368"/>
      <c r="AV86" s="367"/>
      <c r="AW86" s="354"/>
      <c r="BD86" s="369"/>
      <c r="BE86" s="370"/>
      <c r="BI86" s="365"/>
      <c r="BK86" s="371"/>
      <c r="BL86" s="405"/>
      <c r="BM86" s="358"/>
      <c r="BN86" s="199"/>
      <c r="BP86" s="204"/>
      <c r="BQ86" s="66"/>
      <c r="BR86" s="204"/>
      <c r="BS86" s="204"/>
      <c r="BT86" s="66"/>
      <c r="BU86" s="204"/>
      <c r="BV86" s="204"/>
      <c r="BW86" s="206"/>
      <c r="BY86" s="206"/>
      <c r="BZ86" s="206"/>
      <c r="CA86" s="199"/>
      <c r="CC86" s="206"/>
      <c r="CD86" s="356"/>
      <c r="CG86" s="624"/>
    </row>
    <row r="87" spans="1:88" s="65" customFormat="1" ht="18" customHeight="1" x14ac:dyDescent="0.25">
      <c r="A87" s="373" t="s">
        <v>201</v>
      </c>
      <c r="B87" s="302"/>
      <c r="C87" s="302"/>
      <c r="D87" s="302"/>
      <c r="E87" s="303"/>
      <c r="F87" s="204"/>
      <c r="G87" s="204"/>
      <c r="H87" s="199"/>
      <c r="I87" s="204"/>
      <c r="J87" s="204"/>
      <c r="K87" s="199"/>
      <c r="L87" s="204"/>
      <c r="M87" s="204"/>
      <c r="N87" s="199"/>
      <c r="O87" s="204"/>
      <c r="P87" s="358"/>
      <c r="Q87" s="356"/>
      <c r="R87" s="204"/>
      <c r="S87" s="204"/>
      <c r="T87" s="304"/>
      <c r="U87" s="204"/>
      <c r="V87" s="204"/>
      <c r="W87" s="304"/>
      <c r="X87" s="204"/>
      <c r="AA87" s="204"/>
      <c r="AC87" s="365"/>
      <c r="AD87" s="204"/>
      <c r="AE87" s="403"/>
      <c r="AF87" s="404"/>
      <c r="AG87" s="404"/>
      <c r="AH87" s="404"/>
      <c r="AI87" s="404"/>
      <c r="AM87" s="307"/>
      <c r="AN87" s="374"/>
      <c r="AO87" s="367"/>
      <c r="AP87" s="358"/>
      <c r="AQ87" s="358"/>
      <c r="AR87" s="358"/>
      <c r="AS87" s="204"/>
      <c r="AT87" s="204"/>
      <c r="AU87" s="368"/>
      <c r="AV87" s="367"/>
      <c r="AW87" s="354"/>
      <c r="BD87" s="369"/>
      <c r="BE87" s="370"/>
      <c r="BI87" s="365"/>
      <c r="BK87" s="371"/>
      <c r="BL87" s="405"/>
      <c r="BM87" s="358"/>
      <c r="BN87" s="199"/>
      <c r="BP87" s="204"/>
      <c r="BQ87" s="66"/>
      <c r="BR87" s="204"/>
      <c r="BS87" s="204"/>
      <c r="BT87" s="66"/>
      <c r="BU87" s="204"/>
      <c r="BV87" s="204"/>
      <c r="BW87" s="206"/>
      <c r="BY87" s="206"/>
      <c r="BZ87" s="206"/>
      <c r="CA87" s="199"/>
      <c r="CC87" s="206"/>
      <c r="CD87" s="356"/>
      <c r="CG87" s="624"/>
    </row>
    <row r="88" spans="1:88" s="65" customFormat="1" ht="18" customHeight="1" x14ac:dyDescent="0.25">
      <c r="A88" s="373" t="s">
        <v>202</v>
      </c>
      <c r="B88" s="302"/>
      <c r="C88" s="302"/>
      <c r="D88" s="302"/>
      <c r="E88" s="303"/>
      <c r="F88" s="204"/>
      <c r="G88" s="204"/>
      <c r="H88" s="199"/>
      <c r="I88" s="204"/>
      <c r="J88" s="204"/>
      <c r="K88" s="199"/>
      <c r="L88" s="204"/>
      <c r="M88" s="204"/>
      <c r="N88" s="199"/>
      <c r="O88" s="204"/>
      <c r="P88" s="358"/>
      <c r="Q88" s="356"/>
      <c r="R88" s="204"/>
      <c r="S88" s="204"/>
      <c r="T88" s="304"/>
      <c r="U88" s="204"/>
      <c r="V88" s="204"/>
      <c r="W88" s="304"/>
      <c r="X88" s="204"/>
      <c r="AA88" s="204"/>
      <c r="AC88" s="365"/>
      <c r="AD88" s="204"/>
      <c r="AE88" s="403"/>
      <c r="AF88" s="404"/>
      <c r="AG88" s="404"/>
      <c r="AH88" s="404"/>
      <c r="AI88" s="404"/>
      <c r="AM88" s="307"/>
      <c r="AN88" s="374"/>
      <c r="AO88" s="367"/>
      <c r="AP88" s="358"/>
      <c r="AQ88" s="358"/>
      <c r="AR88" s="358"/>
      <c r="AS88" s="204"/>
      <c r="AT88" s="204"/>
      <c r="AU88" s="368"/>
      <c r="AV88" s="367"/>
      <c r="AW88" s="354"/>
      <c r="BD88" s="369"/>
      <c r="BE88" s="370"/>
      <c r="BI88" s="365"/>
      <c r="BK88" s="371"/>
      <c r="BL88" s="405"/>
      <c r="BM88" s="358"/>
      <c r="BN88" s="199"/>
      <c r="BP88" s="204"/>
      <c r="BQ88" s="66"/>
      <c r="BR88" s="204"/>
      <c r="BS88" s="204"/>
      <c r="BT88" s="66"/>
      <c r="BU88" s="204"/>
      <c r="BV88" s="204"/>
      <c r="BW88" s="206"/>
      <c r="BY88" s="206"/>
      <c r="BZ88" s="206"/>
      <c r="CA88" s="199"/>
      <c r="CC88" s="206"/>
      <c r="CD88" s="356"/>
      <c r="CG88" s="624"/>
    </row>
    <row r="89" spans="1:88" s="65" customFormat="1" ht="18" customHeight="1" x14ac:dyDescent="0.25">
      <c r="A89" s="373" t="s">
        <v>407</v>
      </c>
      <c r="B89" s="302"/>
      <c r="C89" s="302"/>
      <c r="D89" s="302"/>
      <c r="E89" s="303"/>
      <c r="F89" s="204"/>
      <c r="G89" s="204"/>
      <c r="H89" s="199"/>
      <c r="I89" s="204"/>
      <c r="J89" s="204"/>
      <c r="K89" s="199"/>
      <c r="L89" s="204"/>
      <c r="M89" s="204"/>
      <c r="N89" s="199"/>
      <c r="O89" s="204"/>
      <c r="P89" s="358"/>
      <c r="Q89" s="356"/>
      <c r="R89" s="204"/>
      <c r="S89" s="204"/>
      <c r="T89" s="304"/>
      <c r="U89" s="204"/>
      <c r="V89" s="204"/>
      <c r="W89" s="304"/>
      <c r="X89" s="204"/>
      <c r="AA89" s="204"/>
      <c r="AC89" s="365"/>
      <c r="AD89" s="204"/>
      <c r="AE89" s="403"/>
      <c r="AF89" s="404"/>
      <c r="AG89" s="404"/>
      <c r="AH89" s="404"/>
      <c r="AI89" s="404"/>
      <c r="AM89" s="307"/>
      <c r="AN89" s="374"/>
      <c r="AO89" s="367"/>
      <c r="AP89" s="358"/>
      <c r="AQ89" s="358"/>
      <c r="AR89" s="358"/>
      <c r="AS89" s="204"/>
      <c r="AT89" s="204"/>
      <c r="AU89" s="368"/>
      <c r="AV89" s="367"/>
      <c r="AW89" s="354"/>
      <c r="BD89" s="369"/>
      <c r="BE89" s="370"/>
      <c r="BI89" s="365"/>
      <c r="BK89" s="371"/>
      <c r="BL89" s="405"/>
      <c r="BM89" s="358"/>
      <c r="BN89" s="199"/>
      <c r="BP89" s="204"/>
      <c r="BQ89" s="66"/>
      <c r="BR89" s="204"/>
      <c r="BS89" s="204"/>
      <c r="BT89" s="66"/>
      <c r="BU89" s="204"/>
      <c r="BV89" s="204"/>
      <c r="BW89" s="206"/>
      <c r="BY89" s="206"/>
      <c r="BZ89" s="206"/>
      <c r="CA89" s="199"/>
      <c r="CC89" s="206"/>
      <c r="CD89" s="356"/>
      <c r="CG89" s="624"/>
    </row>
    <row r="90" spans="1:88" ht="18" customHeight="1" x14ac:dyDescent="0.25">
      <c r="A90" s="373"/>
      <c r="B90" s="302"/>
      <c r="C90" s="302"/>
      <c r="D90" s="302"/>
      <c r="E90" s="303"/>
      <c r="F90" s="204"/>
      <c r="G90" s="204"/>
      <c r="I90" s="204"/>
      <c r="J90" s="204"/>
      <c r="L90" s="204"/>
      <c r="M90" s="204"/>
      <c r="O90" s="204"/>
      <c r="P90" s="317"/>
      <c r="Q90" s="316"/>
      <c r="R90" s="204"/>
      <c r="S90" s="204"/>
      <c r="T90" s="304"/>
      <c r="U90" s="204"/>
      <c r="V90" s="204"/>
      <c r="W90" s="304"/>
      <c r="X90" s="204"/>
      <c r="AA90" s="204"/>
      <c r="AD90" s="204"/>
      <c r="AI90" s="202"/>
      <c r="AM90" s="307"/>
      <c r="AN90" s="374"/>
      <c r="BD90" s="359"/>
      <c r="BI90" s="200"/>
      <c r="BL90" s="405"/>
      <c r="BM90" s="358"/>
      <c r="BN90" s="199"/>
      <c r="BP90" s="204"/>
      <c r="BR90" s="204"/>
      <c r="BS90" s="204"/>
      <c r="BW90" s="206"/>
      <c r="BY90" s="206"/>
      <c r="BZ90" s="206"/>
      <c r="CA90" s="199"/>
      <c r="CC90" s="206"/>
      <c r="CD90" s="304"/>
      <c r="CG90" s="562"/>
    </row>
    <row r="91" spans="1:88" s="289" customFormat="1" ht="18" customHeight="1" x14ac:dyDescent="0.25">
      <c r="A91" s="283" t="s">
        <v>204</v>
      </c>
      <c r="B91" s="375"/>
      <c r="C91" s="375"/>
      <c r="D91" s="375"/>
      <c r="E91" s="376"/>
      <c r="F91" s="287"/>
      <c r="G91" s="287"/>
      <c r="H91" s="288"/>
      <c r="I91" s="287"/>
      <c r="J91" s="287"/>
      <c r="K91" s="288"/>
      <c r="L91" s="287"/>
      <c r="M91" s="287"/>
      <c r="N91" s="288"/>
      <c r="O91" s="287"/>
      <c r="P91" s="285"/>
      <c r="Q91" s="377"/>
      <c r="R91" s="287"/>
      <c r="S91" s="287"/>
      <c r="T91" s="407"/>
      <c r="U91" s="287"/>
      <c r="V91" s="287"/>
      <c r="W91" s="407"/>
      <c r="X91" s="287"/>
      <c r="AA91" s="287"/>
      <c r="AC91" s="290"/>
      <c r="AD91" s="287"/>
      <c r="AE91" s="291"/>
      <c r="AF91" s="292"/>
      <c r="AG91" s="292"/>
      <c r="AH91" s="292"/>
      <c r="AI91" s="292"/>
      <c r="AM91" s="383"/>
      <c r="AN91" s="384"/>
      <c r="AO91" s="295"/>
      <c r="AP91" s="287"/>
      <c r="AQ91" s="287"/>
      <c r="AR91" s="287"/>
      <c r="AS91" s="287"/>
      <c r="AT91" s="287"/>
      <c r="AU91" s="296"/>
      <c r="AV91" s="295"/>
      <c r="AW91" s="287"/>
      <c r="BD91" s="297"/>
      <c r="BE91" s="298"/>
      <c r="BI91" s="290"/>
      <c r="BK91" s="299"/>
      <c r="BL91" s="408"/>
      <c r="BM91" s="409"/>
      <c r="BN91" s="288"/>
      <c r="BP91" s="287"/>
      <c r="BR91" s="287"/>
      <c r="BS91" s="287"/>
      <c r="BU91" s="287"/>
      <c r="BV91" s="287"/>
      <c r="BW91" s="296"/>
      <c r="BY91" s="296"/>
      <c r="BZ91" s="296"/>
      <c r="CA91" s="288"/>
      <c r="CC91" s="296"/>
      <c r="CD91" s="407"/>
      <c r="CG91" s="677"/>
    </row>
    <row r="92" spans="1:88" ht="18" customHeight="1" x14ac:dyDescent="0.25">
      <c r="A92" s="313" t="s">
        <v>205</v>
      </c>
      <c r="B92" s="302">
        <f>'FY 2016 by Agency'!B93*Inflator!$E$2</f>
        <v>434447.38397129189</v>
      </c>
      <c r="C92" s="302">
        <f>'FY 2016 by Agency'!C93*Inflator!$E$3</f>
        <v>439570.17658423499</v>
      </c>
      <c r="D92" s="302">
        <f>C92-B92</f>
        <v>5122.7926129430998</v>
      </c>
      <c r="E92" s="303">
        <f>(C92-B92)/B92</f>
        <v>1.1791514466298668E-2</v>
      </c>
      <c r="F92" s="204">
        <f>'FY 2016 by Agency'!F93*Inflator!$E$4</f>
        <v>442687.59421393223</v>
      </c>
      <c r="G92" s="204">
        <f>F92-C92</f>
        <v>3117.4176296972437</v>
      </c>
      <c r="H92" s="199">
        <f>(F92-C92)/C92</f>
        <v>7.0919680082068802E-3</v>
      </c>
      <c r="I92" s="204">
        <f>'FY 2016 by Agency'!I93*Inflator!$E$5</f>
        <v>456149.98326515435</v>
      </c>
      <c r="J92" s="204">
        <f>I92-F92</f>
        <v>13462.389051222126</v>
      </c>
      <c r="K92" s="199">
        <f>(I92-F92)/F92</f>
        <v>3.0410585765627579E-2</v>
      </c>
      <c r="L92" s="204">
        <f>'FY 2016 by Agency'!L93*Inflator!$E$6</f>
        <v>474938.52780806978</v>
      </c>
      <c r="M92" s="204">
        <f>L92-I92</f>
        <v>18788.544542915421</v>
      </c>
      <c r="N92" s="199">
        <f>(L92-I92)/I92</f>
        <v>4.1189400925602734E-2</v>
      </c>
      <c r="O92" s="204">
        <f>'FY 2016 by Agency'!O93*Inflator!$E$7</f>
        <v>479198.99999999994</v>
      </c>
      <c r="P92" s="204">
        <f>O92-L92</f>
        <v>4260.4721919301664</v>
      </c>
      <c r="Q92" s="304">
        <f t="shared" ref="Q92:Q108" si="89">P92/L92</f>
        <v>8.9705760692716241E-3</v>
      </c>
      <c r="R92" s="204">
        <f>'FY 2016 by Agency'!R93*Inflator!$E$8</f>
        <v>527802.80957230146</v>
      </c>
      <c r="S92" s="204">
        <f t="shared" ref="S92:S116" si="90">R92-O92</f>
        <v>48603.809572301514</v>
      </c>
      <c r="T92" s="304">
        <f t="shared" ref="T92:T104" si="91">S92/O92</f>
        <v>0.10142719323767688</v>
      </c>
      <c r="U92" s="204">
        <f>'FY 2016 by Agency'!U93*Inflator!$E$9</f>
        <v>530536.97148541105</v>
      </c>
      <c r="V92" s="204">
        <f>U92-R92</f>
        <v>2734.161913109594</v>
      </c>
      <c r="W92" s="304">
        <f>V92/R92</f>
        <v>5.180271615691452E-3</v>
      </c>
      <c r="X92" s="204">
        <f>'FY 2016 by Agency'!X93*Inflator!$E$10</f>
        <v>553297.91584630043</v>
      </c>
      <c r="Y92" s="206">
        <f>X92-U92</f>
        <v>22760.944360889378</v>
      </c>
      <c r="Z92" s="304">
        <f t="shared" ref="Z92:Z104" si="92">Y92/U92</f>
        <v>4.2901712009179492E-2</v>
      </c>
      <c r="AA92" s="204">
        <f>'FY 2016 by Agency'!AA93*Inflator!$E$11</f>
        <v>545121.61834979302</v>
      </c>
      <c r="AB92" s="206">
        <f t="shared" ref="AB92:AB116" si="93">AA92-X92</f>
        <v>-8176.29749650741</v>
      </c>
      <c r="AC92" s="304">
        <f t="shared" ref="AC92:AC111" si="94">AB92/X92</f>
        <v>-1.4777387122453373E-2</v>
      </c>
      <c r="AD92" s="204" t="e">
        <f>'FY 2016 by Agency'!AD93*Inflator!#REF!</f>
        <v>#REF!</v>
      </c>
      <c r="AE92" s="204">
        <f>'FY 2016 by Agency'!AE93*Inflator!$B$8</f>
        <v>0</v>
      </c>
      <c r="AF92" s="204">
        <f>'FY 2016 by Agency'!AF93*Inflator!$E$12</f>
        <v>517554.24436090235</v>
      </c>
      <c r="AG92" s="204">
        <f t="shared" ref="AG92:AG116" si="95">AF92-AA92</f>
        <v>-27567.373988890671</v>
      </c>
      <c r="AH92" s="304">
        <f t="shared" ref="AH92:AH116" si="96">AG92/AA92</f>
        <v>-5.0571052515479713E-2</v>
      </c>
      <c r="AI92" s="204">
        <f>'FY 2016 by Agency'!AI93*Inflator!$B$8</f>
        <v>0</v>
      </c>
      <c r="AJ92" s="204">
        <f>'FY 2016 by Agency'!AJ93*Inflator!$B$8</f>
        <v>0</v>
      </c>
      <c r="AK92" s="204">
        <f>'FY 2016 by Agency'!AK93</f>
        <v>452401</v>
      </c>
      <c r="AL92" s="204">
        <f>'FY 2016 by Agency'!AL93</f>
        <v>0</v>
      </c>
      <c r="AM92" s="204">
        <f>'FY 2016 by Agency'!AM93</f>
        <v>452401</v>
      </c>
      <c r="AN92" s="204">
        <f>'FY 2016 by Agency'!AN93</f>
        <v>413648</v>
      </c>
      <c r="AO92" s="204">
        <f>'FY 2016 by Agency'!AO93</f>
        <v>449518</v>
      </c>
      <c r="AP92" s="204">
        <f>'FY 2016 by Agency'!AP93</f>
        <v>19429</v>
      </c>
      <c r="AQ92" s="204">
        <f>'FY 2016 by Agency'!AQ93</f>
        <v>381</v>
      </c>
      <c r="AR92" s="204">
        <f>'FY 2016 by Agency'!AR93</f>
        <v>19810</v>
      </c>
      <c r="AS92" s="204">
        <f>'FY 2016 by Agency'!AS93</f>
        <v>462302.49015000003</v>
      </c>
      <c r="AT92" s="204" t="e">
        <f t="shared" ref="AT92:AT116" si="97">AR92-AD92</f>
        <v>#REF!</v>
      </c>
      <c r="AU92" s="304" t="e">
        <f t="shared" ref="AU92:AU115" si="98">AT92/AD92</f>
        <v>#REF!</v>
      </c>
      <c r="AV92" s="204">
        <f t="shared" ref="AV92:AV116" si="99">AS92-AF92</f>
        <v>-55251.75421090232</v>
      </c>
      <c r="AW92" s="304">
        <f t="shared" ref="AW92:AW116" si="100">AV92/AF92</f>
        <v>-0.10675548469152156</v>
      </c>
      <c r="AX92" s="410" t="s">
        <v>408</v>
      </c>
      <c r="AY92" s="207">
        <v>448718.28500000003</v>
      </c>
      <c r="AZ92" s="207">
        <f t="shared" ref="AZ92:AZ112" si="101">+AY92-AO92</f>
        <v>-799.7149999999674</v>
      </c>
      <c r="BA92" s="207">
        <f t="shared" ref="BA92:BA112" si="102">+AZ92+AV92</f>
        <v>-56051.469210902287</v>
      </c>
      <c r="BB92" s="207">
        <f t="shared" ref="BB92:BB112" si="103">+AZ92+AS92</f>
        <v>461502.77515000006</v>
      </c>
      <c r="BC92" s="304">
        <f t="shared" ref="BC92:BC112" si="104">+BB92/AF92-1</f>
        <v>-0.10830066572078256</v>
      </c>
      <c r="BD92" s="306">
        <v>3399.1379999999999</v>
      </c>
      <c r="BE92" s="199">
        <f>BD92/AY92</f>
        <v>7.5752161514880088E-3</v>
      </c>
      <c r="BF92" s="66">
        <v>3794</v>
      </c>
      <c r="BH92" s="66">
        <v>4000</v>
      </c>
      <c r="BI92" s="200">
        <v>439277</v>
      </c>
      <c r="BJ92" s="207">
        <f>BI92-AY92</f>
        <v>-9441.2850000000326</v>
      </c>
      <c r="BK92" s="206">
        <f>BI92+AP92+AQ92</f>
        <v>459087</v>
      </c>
      <c r="BL92" s="307">
        <f>'FY 2016 by Agency'!BB93*Inflator!$E$13</f>
        <v>486512.18859031127</v>
      </c>
      <c r="BM92" s="204">
        <f>BL92-AF92</f>
        <v>-31042.055770591076</v>
      </c>
      <c r="BN92" s="199">
        <f>BM92/AF92</f>
        <v>-5.9978361898902224E-2</v>
      </c>
      <c r="BO92" s="204">
        <f>'FY 2016 by Agency'!AX93*Inflator!$E$13</f>
        <v>491387.84894720779</v>
      </c>
      <c r="BP92" s="204">
        <f t="shared" si="84"/>
        <v>-26166.395413694554</v>
      </c>
      <c r="BQ92" s="199">
        <f t="shared" si="85"/>
        <v>-5.0557783457086544E-2</v>
      </c>
      <c r="BR92" s="204">
        <f>'FY 2016 by Agency'!BE93*Inflator!$E$14</f>
        <v>481275.34147794993</v>
      </c>
      <c r="BS92" s="204">
        <f t="shared" si="86"/>
        <v>-10112.507469257864</v>
      </c>
      <c r="BT92" s="199">
        <f t="shared" si="87"/>
        <v>-2.0579482156353239E-2</v>
      </c>
      <c r="BU92" s="204">
        <f>'FY 2016 by Agency'!BL93*Inflator!$E$14</f>
        <v>500344.61620977352</v>
      </c>
      <c r="BV92" s="204">
        <f>BU92-BL92</f>
        <v>13832.427619462251</v>
      </c>
      <c r="BW92" s="309">
        <v>471523</v>
      </c>
      <c r="BX92" s="206">
        <f>'FY 2016 by Agency'!BW93*Inflator!E15</f>
        <v>524742.99032541772</v>
      </c>
      <c r="BY92" s="204">
        <f>'FY 2016 by Agency'!BZ93*Inflator!$E$15</f>
        <v>491441.38346525939</v>
      </c>
      <c r="BZ92" s="206">
        <f t="shared" si="82"/>
        <v>-9752.341477949929</v>
      </c>
      <c r="CA92" s="199">
        <f t="shared" si="83"/>
        <v>-2.0263538638820418E-2</v>
      </c>
      <c r="CB92" s="308">
        <f>'FY 2016 by Agency'!CF93*Inflator!$E$16</f>
        <v>515818.92232168635</v>
      </c>
      <c r="CC92" s="206">
        <f t="shared" ref="CC92:CC116" si="105">CB92-BY92</f>
        <v>24377.538856426952</v>
      </c>
      <c r="CD92" s="304">
        <f t="shared" ref="CD92:CD116" si="106">CC92/BY92</f>
        <v>4.9604163744891933E-2</v>
      </c>
      <c r="CE92" s="206">
        <f>'FY 2016 by Agency'!CK93*Inflator!$E$17</f>
        <v>495037.29385094933</v>
      </c>
      <c r="CF92" s="206">
        <f>CE92-CB92</f>
        <v>-20781.628470737021</v>
      </c>
      <c r="CG92" s="562">
        <f>CF92/CB92</f>
        <v>-4.0288612091234459E-2</v>
      </c>
      <c r="CH92" s="753">
        <f>'FY 2016 by Agency'!CN93*Inflator!$E$18</f>
        <v>510567</v>
      </c>
      <c r="CI92" s="753">
        <f>CH92-CE92</f>
        <v>15529.706149050675</v>
      </c>
      <c r="CJ92" s="304">
        <f>CI92/CE92</f>
        <v>3.1370780225957101E-2</v>
      </c>
    </row>
    <row r="93" spans="1:88" ht="18" customHeight="1" x14ac:dyDescent="0.25">
      <c r="A93" s="313" t="s">
        <v>206</v>
      </c>
      <c r="B93" s="302">
        <f>'FY 2016 by Agency'!B94*Inflator!$E$2</f>
        <v>162127.81698564594</v>
      </c>
      <c r="C93" s="302">
        <f>'FY 2016 by Agency'!C94*Inflator!$E$3</f>
        <v>179893.83616692427</v>
      </c>
      <c r="D93" s="302">
        <f>C93-B93</f>
        <v>17766.019181278331</v>
      </c>
      <c r="E93" s="303">
        <f>(C93-B93)/B93</f>
        <v>0.10958032687784387</v>
      </c>
      <c r="F93" s="204">
        <f>'FY 2016 by Agency'!F94*Inflator!$E$4</f>
        <v>177929.49866768176</v>
      </c>
      <c r="G93" s="204">
        <f>F93-C93</f>
        <v>-1964.3374992425088</v>
      </c>
      <c r="H93" s="199">
        <f>(F93-C93)/C93</f>
        <v>-1.0919426374452271E-2</v>
      </c>
      <c r="I93" s="204">
        <f>'FY 2016 by Agency'!I94*Inflator!$E$5</f>
        <v>181815.49981405729</v>
      </c>
      <c r="J93" s="204">
        <f>I93-F93</f>
        <v>3886.0011463755218</v>
      </c>
      <c r="K93" s="199">
        <f>(I93-F93)/F93</f>
        <v>2.1840117436813505E-2</v>
      </c>
      <c r="L93" s="204">
        <f>'FY 2016 by Agency'!L94*Inflator!$E$6</f>
        <v>194495.20501635768</v>
      </c>
      <c r="M93" s="204">
        <f>L93-I93</f>
        <v>12679.705202300393</v>
      </c>
      <c r="N93" s="199">
        <f>(L93-I93)/I93</f>
        <v>6.9739407340231874E-2</v>
      </c>
      <c r="O93" s="204">
        <f>'FY 2016 by Agency'!O94*Inflator!$E$7</f>
        <v>189250.71383315732</v>
      </c>
      <c r="P93" s="204">
        <f t="shared" ref="P93:P111" si="107">O93-L93</f>
        <v>-5244.4911832003563</v>
      </c>
      <c r="Q93" s="304">
        <f t="shared" si="89"/>
        <v>-2.6964629707756947E-2</v>
      </c>
      <c r="R93" s="204">
        <f>'FY 2016 by Agency'!R94*Inflator!$E$8</f>
        <v>192292.08553971487</v>
      </c>
      <c r="S93" s="204">
        <f t="shared" si="90"/>
        <v>3041.3717065575474</v>
      </c>
      <c r="T93" s="304">
        <f t="shared" si="91"/>
        <v>1.6070595692647207E-2</v>
      </c>
      <c r="U93" s="204">
        <f>'FY 2016 by Agency'!U94*Inflator!$E$9</f>
        <v>206401.96452254639</v>
      </c>
      <c r="V93" s="204">
        <f t="shared" ref="V93:V111" si="108">U93-R93</f>
        <v>14109.87898283152</v>
      </c>
      <c r="W93" s="304">
        <f t="shared" ref="W93:W111" si="109">V93/R93</f>
        <v>7.3377325661785231E-2</v>
      </c>
      <c r="X93" s="204">
        <f>'FY 2016 by Agency'!X94*Inflator!$E$10</f>
        <v>215792.12543664657</v>
      </c>
      <c r="Y93" s="206">
        <f t="shared" ref="Y93:Y115" si="110">X93-U93</f>
        <v>9390.1609141001827</v>
      </c>
      <c r="Z93" s="304">
        <f t="shared" si="92"/>
        <v>4.5494532650508977E-2</v>
      </c>
      <c r="AA93" s="204">
        <f>'FY 2016 by Agency'!AA94*Inflator!$E$11</f>
        <v>211530.19018795798</v>
      </c>
      <c r="AB93" s="206">
        <f t="shared" si="93"/>
        <v>-4261.9352486885909</v>
      </c>
      <c r="AC93" s="304">
        <f t="shared" si="94"/>
        <v>-1.9750188937917631E-2</v>
      </c>
      <c r="AD93" s="204" t="e">
        <f>'FY 2016 by Agency'!AD94*Inflator!#REF!</f>
        <v>#REF!</v>
      </c>
      <c r="AE93" s="204">
        <f>'FY 2016 by Agency'!AE94*Inflator!$B$8</f>
        <v>0</v>
      </c>
      <c r="AF93" s="204">
        <f>'FY 2016 by Agency'!AF94*Inflator!$E$12</f>
        <v>219916.19360902259</v>
      </c>
      <c r="AG93" s="204">
        <f t="shared" si="95"/>
        <v>8386.0034210646118</v>
      </c>
      <c r="AH93" s="304">
        <f t="shared" si="96"/>
        <v>3.9644475399058243E-2</v>
      </c>
      <c r="AI93" s="204">
        <f>'FY 2016 by Agency'!AI94*Inflator!$B$8</f>
        <v>0</v>
      </c>
      <c r="AJ93" s="204">
        <f>'FY 2016 by Agency'!AJ94*Inflator!$B$8</f>
        <v>0</v>
      </c>
      <c r="AK93" s="204">
        <f>'FY 2016 by Agency'!AK94</f>
        <v>196834</v>
      </c>
      <c r="AL93" s="204">
        <f>'FY 2016 by Agency'!AL94</f>
        <v>0</v>
      </c>
      <c r="AM93" s="204">
        <f>'FY 2016 by Agency'!AM94</f>
        <v>196834</v>
      </c>
      <c r="AN93" s="204">
        <f>'FY 2016 by Agency'!AN94</f>
        <v>192535</v>
      </c>
      <c r="AO93" s="204">
        <f>'FY 2016 by Agency'!AO94</f>
        <v>194055</v>
      </c>
      <c r="AP93" s="204">
        <f>'FY 2016 by Agency'!AP94</f>
        <v>5393</v>
      </c>
      <c r="AQ93" s="204">
        <f>'FY 2016 by Agency'!AQ94</f>
        <v>240</v>
      </c>
      <c r="AR93" s="204">
        <f>'FY 2016 by Agency'!AR94</f>
        <v>5633</v>
      </c>
      <c r="AS93" s="204">
        <f>'FY 2016 by Agency'!AS94</f>
        <v>199071.45843</v>
      </c>
      <c r="AT93" s="204" t="e">
        <f t="shared" si="97"/>
        <v>#REF!</v>
      </c>
      <c r="AU93" s="304" t="e">
        <f t="shared" si="98"/>
        <v>#REF!</v>
      </c>
      <c r="AV93" s="204">
        <f t="shared" si="99"/>
        <v>-20844.735179022595</v>
      </c>
      <c r="AW93" s="304">
        <f t="shared" si="100"/>
        <v>-9.4784903453182495E-2</v>
      </c>
      <c r="AX93" s="410" t="s">
        <v>409</v>
      </c>
      <c r="AY93" s="207">
        <v>197050.18046999999</v>
      </c>
      <c r="AZ93" s="207">
        <f t="shared" si="101"/>
        <v>2995.1804699999921</v>
      </c>
      <c r="BA93" s="207">
        <f t="shared" si="102"/>
        <v>-17849.554709022603</v>
      </c>
      <c r="BB93" s="207">
        <f t="shared" si="103"/>
        <v>202066.63889999999</v>
      </c>
      <c r="BC93" s="304">
        <f t="shared" si="104"/>
        <v>-8.1165258529148576E-2</v>
      </c>
      <c r="BD93" s="306">
        <v>1970.6990000000001</v>
      </c>
      <c r="BE93" s="199">
        <f t="shared" ref="BE93:BE111" si="111">BD93/AY93</f>
        <v>1.0001000736459768E-2</v>
      </c>
      <c r="BF93" s="66">
        <v>657</v>
      </c>
      <c r="BI93" s="200">
        <v>196615</v>
      </c>
      <c r="BJ93" s="207">
        <f t="shared" ref="BJ93:BJ116" si="112">BI93-AY93</f>
        <v>-435.18046999999206</v>
      </c>
      <c r="BK93" s="206">
        <f t="shared" ref="BK93:BK115" si="113">BI93+AP93+AQ93</f>
        <v>202248</v>
      </c>
      <c r="BL93" s="307">
        <f>'FY 2016 by Agency'!BB94*Inflator!$E$13</f>
        <v>212681.95475230087</v>
      </c>
      <c r="BM93" s="204">
        <f t="shared" ref="BM93:BM116" si="114">BL93-AF93</f>
        <v>-7234.2388567217276</v>
      </c>
      <c r="BN93" s="199">
        <f t="shared" ref="BN93:BN116" si="115">BM93/AF93</f>
        <v>-3.2895435020047228E-2</v>
      </c>
      <c r="BO93" s="204">
        <f>'FY 2016 by Agency'!AX94*Inflator!$E$13</f>
        <v>216174.50259383582</v>
      </c>
      <c r="BP93" s="204">
        <f t="shared" si="84"/>
        <v>-3741.6910151867778</v>
      </c>
      <c r="BQ93" s="199">
        <f t="shared" si="85"/>
        <v>-1.7014167778107932E-2</v>
      </c>
      <c r="BR93" s="204">
        <f>'FY 2016 by Agency'!BE94*Inflator!$E$14</f>
        <v>204378.99404052441</v>
      </c>
      <c r="BS93" s="204">
        <f t="shared" si="86"/>
        <v>-11795.508553311403</v>
      </c>
      <c r="BT93" s="199">
        <f t="shared" si="87"/>
        <v>-5.4564753991702956E-2</v>
      </c>
      <c r="BU93" s="204">
        <f>'FY 2016 by Agency'!BL94*Inflator!$E$14</f>
        <v>210964.45351609058</v>
      </c>
      <c r="BV93" s="204">
        <f t="shared" ref="BV93:BV116" si="116">BU93-BL93</f>
        <v>-1717.5012362102862</v>
      </c>
      <c r="BW93" s="309">
        <v>200729</v>
      </c>
      <c r="BX93" s="206">
        <f>'FY 2016 by Agency'!BW94*Inflator!E15</f>
        <v>220519.23306948107</v>
      </c>
      <c r="BY93" s="204">
        <f>'FY 2016 by Agency'!BZ94*Inflator!$E$15</f>
        <v>211163.6860158311</v>
      </c>
      <c r="BZ93" s="206">
        <f t="shared" si="82"/>
        <v>-3649.9940405244124</v>
      </c>
      <c r="CA93" s="199">
        <f t="shared" si="83"/>
        <v>-1.7858949045422394E-2</v>
      </c>
      <c r="CB93" s="308">
        <f>'FY 2016 by Agency'!CF94*Inflator!$E$16</f>
        <v>225568.81663297716</v>
      </c>
      <c r="CC93" s="206">
        <f t="shared" si="105"/>
        <v>14405.13061714606</v>
      </c>
      <c r="CD93" s="304">
        <f t="shared" si="106"/>
        <v>6.8217840334848567E-2</v>
      </c>
      <c r="CE93" s="206">
        <f>'FY 2016 by Agency'!CK94*Inflator!$E$17</f>
        <v>207341.47038821198</v>
      </c>
      <c r="CF93" s="206">
        <f t="shared" ref="CF93:CF115" si="117">CE93-CB93</f>
        <v>-18227.346244765184</v>
      </c>
      <c r="CG93" s="562">
        <f t="shared" ref="CG93:CG115" si="118">CF93/CB93</f>
        <v>-8.080614384931975E-2</v>
      </c>
      <c r="CH93" s="753">
        <f>'FY 2016 by Agency'!CN94*Inflator!$E$18</f>
        <v>234143</v>
      </c>
      <c r="CI93" s="753">
        <f t="shared" ref="CI93:CI116" si="119">CH93-CE93</f>
        <v>26801.529611788021</v>
      </c>
      <c r="CJ93" s="304">
        <f t="shared" ref="CJ93:CJ116" si="120">CI93/CE93</f>
        <v>0.12926275463179976</v>
      </c>
    </row>
    <row r="94" spans="1:88" ht="18" customHeight="1" x14ac:dyDescent="0.25">
      <c r="A94" s="312" t="s">
        <v>207</v>
      </c>
      <c r="B94" s="302">
        <f>'FY 2016 by Agency'!B95*Inflator!$E$2</f>
        <v>57320.454545454544</v>
      </c>
      <c r="C94" s="302">
        <f>'FY 2016 by Agency'!C95*Inflator!$E$3</f>
        <v>68217.542503863995</v>
      </c>
      <c r="D94" s="302">
        <f>C94-B94</f>
        <v>10897.087958409451</v>
      </c>
      <c r="E94" s="303">
        <f>(C94-B94)/B94</f>
        <v>0.19010819165378687</v>
      </c>
      <c r="F94" s="204">
        <f>'FY 2016 by Agency'!F95*Inflator!$E$4</f>
        <v>102315.87362009898</v>
      </c>
      <c r="G94" s="204">
        <f>F94-C94</f>
        <v>34098.331116234986</v>
      </c>
      <c r="H94" s="199">
        <f>(F94-C94)/C94</f>
        <v>0.49984695819705877</v>
      </c>
      <c r="I94" s="204">
        <f>'FY 2016 by Agency'!I95*Inflator!$E$5</f>
        <v>92319.338043882497</v>
      </c>
      <c r="J94" s="204">
        <f>I94-F94</f>
        <v>-9996.5355762164836</v>
      </c>
      <c r="K94" s="199">
        <f>(I94-F94)/F94</f>
        <v>-9.7702685052896421E-2</v>
      </c>
      <c r="L94" s="204">
        <f>'FY 2016 by Agency'!L95*Inflator!$E$6</f>
        <v>126648.52780806979</v>
      </c>
      <c r="M94" s="204">
        <f>L94-I94</f>
        <v>34329.189764187293</v>
      </c>
      <c r="N94" s="199">
        <f>(L94-I94)/I94</f>
        <v>0.37185264205284346</v>
      </c>
      <c r="O94" s="204">
        <f>'FY 2016 by Agency'!O95*Inflator!$E$7</f>
        <v>142166.94825765575</v>
      </c>
      <c r="P94" s="204">
        <f t="shared" si="107"/>
        <v>15518.420449585959</v>
      </c>
      <c r="Q94" s="304">
        <f t="shared" si="89"/>
        <v>0.12253139233567274</v>
      </c>
      <c r="R94" s="204">
        <f>'FY 2016 by Agency'!R95*Inflator!$E$8</f>
        <v>143704.17515274949</v>
      </c>
      <c r="S94" s="204">
        <f t="shared" si="90"/>
        <v>1537.2268950937432</v>
      </c>
      <c r="T94" s="304">
        <f t="shared" si="91"/>
        <v>1.0812828958723625E-2</v>
      </c>
      <c r="U94" s="204">
        <f>'FY 2016 by Agency'!U95*Inflator!$E$9</f>
        <v>167367.47347480105</v>
      </c>
      <c r="V94" s="204">
        <f t="shared" si="108"/>
        <v>23663.29832205156</v>
      </c>
      <c r="W94" s="304">
        <f t="shared" si="109"/>
        <v>0.16466674191545791</v>
      </c>
      <c r="X94" s="204">
        <f>'FY 2016 by Agency'!X95*Inflator!$E$10</f>
        <v>156751.66719593524</v>
      </c>
      <c r="Y94" s="206">
        <f t="shared" si="110"/>
        <v>-10615.806278865814</v>
      </c>
      <c r="Z94" s="304">
        <f t="shared" si="92"/>
        <v>-6.3428132470818091E-2</v>
      </c>
      <c r="AA94" s="204">
        <f>'FY 2016 by Agency'!AA95*Inflator!$E$11</f>
        <v>127292.99139853458</v>
      </c>
      <c r="AB94" s="206">
        <f t="shared" si="93"/>
        <v>-29458.675797400661</v>
      </c>
      <c r="AC94" s="304">
        <f t="shared" si="94"/>
        <v>-0.18793213701885628</v>
      </c>
      <c r="AD94" s="204" t="e">
        <f>'FY 2016 by Agency'!AD95*Inflator!#REF!</f>
        <v>#REF!</v>
      </c>
      <c r="AE94" s="204">
        <f>'FY 2016 by Agency'!AE95*Inflator!$B$8</f>
        <v>0</v>
      </c>
      <c r="AF94" s="204">
        <f>'FY 2016 by Agency'!AF95*Inflator!$E$12</f>
        <v>149334.86842105264</v>
      </c>
      <c r="AG94" s="204">
        <f t="shared" si="95"/>
        <v>22041.877022518063</v>
      </c>
      <c r="AH94" s="304">
        <f t="shared" si="96"/>
        <v>0.17315860661572774</v>
      </c>
      <c r="AI94" s="204">
        <f>'FY 2016 by Agency'!AI95*Inflator!$B$8</f>
        <v>0</v>
      </c>
      <c r="AJ94" s="204">
        <f>'FY 2016 by Agency'!AJ95*Inflator!$B$8</f>
        <v>0</v>
      </c>
      <c r="AK94" s="204">
        <f>'FY 2016 by Agency'!AK95</f>
        <v>127200</v>
      </c>
      <c r="AL94" s="204">
        <f>'FY 2016 by Agency'!AL95</f>
        <v>375</v>
      </c>
      <c r="AM94" s="204">
        <f>'FY 2016 by Agency'!AM95</f>
        <v>127575</v>
      </c>
      <c r="AN94" s="204">
        <f>'FY 2016 by Agency'!AN95</f>
        <v>127200</v>
      </c>
      <c r="AO94" s="204">
        <f>'FY 2016 by Agency'!AO95</f>
        <v>127200</v>
      </c>
      <c r="AP94" s="204">
        <f>'FY 2016 by Agency'!AP95</f>
        <v>0</v>
      </c>
      <c r="AQ94" s="204">
        <f>'FY 2016 by Agency'!AQ95</f>
        <v>0</v>
      </c>
      <c r="AR94" s="204">
        <f>'FY 2016 by Agency'!AR95</f>
        <v>0</v>
      </c>
      <c r="AS94" s="204">
        <f>'FY 2016 by Agency'!AS95</f>
        <v>127200</v>
      </c>
      <c r="AT94" s="204" t="e">
        <f t="shared" si="97"/>
        <v>#REF!</v>
      </c>
      <c r="AU94" s="304" t="e">
        <f t="shared" si="98"/>
        <v>#REF!</v>
      </c>
      <c r="AV94" s="204">
        <f t="shared" si="99"/>
        <v>-22134.868421052641</v>
      </c>
      <c r="AW94" s="304">
        <f t="shared" si="100"/>
        <v>-0.1482230416451899</v>
      </c>
      <c r="AX94" s="410" t="s">
        <v>410</v>
      </c>
      <c r="AY94" s="207">
        <v>127200</v>
      </c>
      <c r="AZ94" s="207">
        <f t="shared" si="101"/>
        <v>0</v>
      </c>
      <c r="BA94" s="207">
        <f t="shared" si="102"/>
        <v>-22134.868421052641</v>
      </c>
      <c r="BB94" s="207">
        <f t="shared" si="103"/>
        <v>127200</v>
      </c>
      <c r="BC94" s="304">
        <f t="shared" si="104"/>
        <v>-0.14822304164518996</v>
      </c>
      <c r="BD94" s="306">
        <v>0</v>
      </c>
      <c r="BE94" s="199">
        <f t="shared" si="111"/>
        <v>0</v>
      </c>
      <c r="BI94" s="200">
        <v>127200</v>
      </c>
      <c r="BJ94" s="207">
        <f t="shared" si="112"/>
        <v>0</v>
      </c>
      <c r="BK94" s="206">
        <f t="shared" si="113"/>
        <v>127200</v>
      </c>
      <c r="BL94" s="307">
        <f>'FY 2016 by Agency'!BB95*Inflator!$E$13</f>
        <v>139854.01281660056</v>
      </c>
      <c r="BM94" s="204">
        <f t="shared" si="114"/>
        <v>-9480.855604452081</v>
      </c>
      <c r="BN94" s="199">
        <f t="shared" si="115"/>
        <v>-6.348721972768355E-2</v>
      </c>
      <c r="BO94" s="204">
        <f>'FY 2016 by Agency'!AX95*Inflator!$E$13</f>
        <v>139854.01281660056</v>
      </c>
      <c r="BP94" s="204">
        <f t="shared" si="84"/>
        <v>-9480.855604452081</v>
      </c>
      <c r="BQ94" s="199">
        <f t="shared" si="85"/>
        <v>-6.348721972768355E-2</v>
      </c>
      <c r="BR94" s="204">
        <f>'FY 2016 by Agency'!BE95*Inflator!$E$14</f>
        <v>125289.06436233611</v>
      </c>
      <c r="BS94" s="204">
        <f t="shared" si="86"/>
        <v>-14564.94845426445</v>
      </c>
      <c r="BT94" s="199">
        <f t="shared" si="87"/>
        <v>-0.10414394382350967</v>
      </c>
      <c r="BU94" s="204">
        <f>'FY 2016 by Agency'!BL95*Inflator!$E$14</f>
        <v>125289.06436233611</v>
      </c>
      <c r="BV94" s="204">
        <f t="shared" si="116"/>
        <v>-14564.94845426445</v>
      </c>
      <c r="BW94" s="206">
        <v>96314</v>
      </c>
      <c r="BX94" s="206">
        <f>'FY 2016 by Agency'!BW95*Inflator!E15</f>
        <v>101735.36851363236</v>
      </c>
      <c r="BY94" s="204">
        <f>'FY 2016 by Agency'!BZ95*Inflator!$E$15</f>
        <v>101735.36851363236</v>
      </c>
      <c r="BZ94" s="206">
        <f t="shared" si="82"/>
        <v>-28975.06436233611</v>
      </c>
      <c r="CA94" s="199">
        <f t="shared" si="83"/>
        <v>-0.23126570949991448</v>
      </c>
      <c r="CB94" s="308">
        <f>'FY 2016 by Agency'!CF95*Inflator!$E$16</f>
        <v>113613.62893444989</v>
      </c>
      <c r="CC94" s="206">
        <f t="shared" si="105"/>
        <v>11878.260420817533</v>
      </c>
      <c r="CD94" s="304">
        <f t="shared" si="106"/>
        <v>0.11675644954513402</v>
      </c>
      <c r="CE94" s="206">
        <f>'FY 2016 by Agency'!CK95*Inflator!$E$17</f>
        <v>113664.49135732504</v>
      </c>
      <c r="CF94" s="206">
        <f t="shared" si="117"/>
        <v>50.862422875143238</v>
      </c>
      <c r="CG94" s="562">
        <f t="shared" si="118"/>
        <v>4.4767888634636113E-4</v>
      </c>
      <c r="CH94" s="753">
        <f>'FY 2016 by Agency'!CN95*Inflator!$E$18</f>
        <v>136115</v>
      </c>
      <c r="CI94" s="753">
        <f t="shared" si="119"/>
        <v>22450.508642674962</v>
      </c>
      <c r="CJ94" s="304">
        <f t="shared" si="120"/>
        <v>0.19751558621854645</v>
      </c>
    </row>
    <row r="95" spans="1:88" ht="18" customHeight="1" x14ac:dyDescent="0.25">
      <c r="A95" s="312" t="s">
        <v>208</v>
      </c>
      <c r="B95" s="302">
        <f>'FY 2016 by Agency'!B96*Inflator!$E$2</f>
        <v>354905.55622009566</v>
      </c>
      <c r="C95" s="302">
        <f>'FY 2016 by Agency'!C96*Inflator!$E$3</f>
        <v>294808.37480680062</v>
      </c>
      <c r="D95" s="302">
        <f>C95-B95</f>
        <v>-60097.181413295039</v>
      </c>
      <c r="E95" s="303">
        <f>(C95-B95)/B95</f>
        <v>-0.16933288408712768</v>
      </c>
      <c r="F95" s="204">
        <f>'FY 2016 by Agency'!F96*Inflator!$E$4</f>
        <v>133881.55500570993</v>
      </c>
      <c r="G95" s="204">
        <f>F95-C95</f>
        <v>-160926.81980109069</v>
      </c>
      <c r="H95" s="199">
        <f>(F95-C95)/C95</f>
        <v>-0.54586922744834598</v>
      </c>
      <c r="I95" s="204">
        <f>'FY 2016 by Agency'!I96*Inflator!$E$5</f>
        <v>137120.34510970622</v>
      </c>
      <c r="J95" s="204">
        <f>I95-F95</f>
        <v>3238.790103996289</v>
      </c>
      <c r="K95" s="199">
        <f>(I95-F95)/F95</f>
        <v>2.419145866552086E-2</v>
      </c>
      <c r="L95" s="204">
        <f>'FY 2016 by Agency'!L96*Inflator!$E$6</f>
        <v>153941.48200654308</v>
      </c>
      <c r="M95" s="204">
        <f>L95-I95</f>
        <v>16821.136896836862</v>
      </c>
      <c r="N95" s="199">
        <f>(L95-I95)/I95</f>
        <v>0.12267426021557</v>
      </c>
      <c r="O95" s="204">
        <f>'FY 2016 by Agency'!O96*Inflator!$E$7</f>
        <v>156467.34530095034</v>
      </c>
      <c r="P95" s="204">
        <f t="shared" si="107"/>
        <v>2525.8632944072597</v>
      </c>
      <c r="Q95" s="304">
        <f t="shared" si="89"/>
        <v>1.6407944509069371E-2</v>
      </c>
      <c r="R95" s="204">
        <f>'FY 2016 by Agency'!R96*Inflator!$E$8</f>
        <v>165360.08859470469</v>
      </c>
      <c r="S95" s="204">
        <f t="shared" si="90"/>
        <v>8892.743293754349</v>
      </c>
      <c r="T95" s="304">
        <f t="shared" si="91"/>
        <v>5.6834499726763986E-2</v>
      </c>
      <c r="U95" s="204">
        <f>'FY 2016 by Agency'!U96*Inflator!$E$9</f>
        <v>175766.90749336866</v>
      </c>
      <c r="V95" s="204">
        <f t="shared" si="108"/>
        <v>10406.818898663973</v>
      </c>
      <c r="W95" s="304">
        <f t="shared" si="109"/>
        <v>6.293428473040398E-2</v>
      </c>
      <c r="X95" s="204">
        <f>'FY 2016 by Agency'!X96*Inflator!$E$10</f>
        <v>174765.52302318197</v>
      </c>
      <c r="Y95" s="206">
        <f t="shared" si="110"/>
        <v>-1001.384470186691</v>
      </c>
      <c r="Z95" s="304">
        <f t="shared" si="92"/>
        <v>-5.6972298396071588E-3</v>
      </c>
      <c r="AA95" s="204">
        <f>'FY 2016 by Agency'!AA96*Inflator!$E$11</f>
        <v>171341.6463841988</v>
      </c>
      <c r="AB95" s="206">
        <f t="shared" si="93"/>
        <v>-3423.8766389831726</v>
      </c>
      <c r="AC95" s="304">
        <f t="shared" si="94"/>
        <v>-1.959125907533266E-2</v>
      </c>
      <c r="AD95" s="204" t="e">
        <f>'FY 2016 by Agency'!AD96*Inflator!#REF!</f>
        <v>#REF!</v>
      </c>
      <c r="AE95" s="204">
        <f>'FY 2016 by Agency'!AE96*Inflator!$B$8</f>
        <v>0</v>
      </c>
      <c r="AF95" s="204">
        <f>'FY 2016 by Agency'!AF96*Inflator!$E$12</f>
        <v>169967.46146616543</v>
      </c>
      <c r="AG95" s="204">
        <f t="shared" si="95"/>
        <v>-1374.1849180333666</v>
      </c>
      <c r="AH95" s="304">
        <f t="shared" si="96"/>
        <v>-8.0201454055836268E-3</v>
      </c>
      <c r="AI95" s="204">
        <f>'FY 2016 by Agency'!AI96*Inflator!$B$8</f>
        <v>0</v>
      </c>
      <c r="AJ95" s="204">
        <f>'FY 2016 by Agency'!AJ96*Inflator!$B$8</f>
        <v>0</v>
      </c>
      <c r="AK95" s="204">
        <f>'FY 2016 by Agency'!AK96</f>
        <v>116451</v>
      </c>
      <c r="AL95" s="204">
        <f>'FY 2016 by Agency'!AL96</f>
        <v>4900</v>
      </c>
      <c r="AM95" s="204">
        <f>'FY 2016 by Agency'!AM96</f>
        <v>121351</v>
      </c>
      <c r="AN95" s="204">
        <f>'FY 2016 by Agency'!AN96</f>
        <v>100083</v>
      </c>
      <c r="AO95" s="204">
        <f>'FY 2016 by Agency'!AO96</f>
        <v>125628</v>
      </c>
      <c r="AP95" s="204">
        <f>'FY 2016 by Agency'!AP96</f>
        <v>2811</v>
      </c>
      <c r="AQ95" s="204">
        <f>'FY 2016 by Agency'!AQ96</f>
        <v>471</v>
      </c>
      <c r="AR95" s="204">
        <f>'FY 2016 by Agency'!AR96</f>
        <v>3282</v>
      </c>
      <c r="AS95" s="204">
        <f>'FY 2016 by Agency'!AS96</f>
        <v>145604.72744000002</v>
      </c>
      <c r="AT95" s="204" t="e">
        <f t="shared" si="97"/>
        <v>#REF!</v>
      </c>
      <c r="AU95" s="304" t="e">
        <f t="shared" si="98"/>
        <v>#REF!</v>
      </c>
      <c r="AV95" s="204">
        <f t="shared" si="99"/>
        <v>-24362.734026165417</v>
      </c>
      <c r="AW95" s="304">
        <f t="shared" si="100"/>
        <v>-0.14333763542744435</v>
      </c>
      <c r="AX95" s="410" t="s">
        <v>411</v>
      </c>
      <c r="AY95" s="207">
        <v>135633.91337999998</v>
      </c>
      <c r="AZ95" s="207">
        <f t="shared" si="101"/>
        <v>10005.913379999984</v>
      </c>
      <c r="BA95" s="207">
        <f t="shared" si="102"/>
        <v>-14356.820646165434</v>
      </c>
      <c r="BB95" s="207">
        <f t="shared" si="103"/>
        <v>155610.64082</v>
      </c>
      <c r="BC95" s="304">
        <f t="shared" si="104"/>
        <v>-8.4468053604621063E-2</v>
      </c>
      <c r="BD95" s="306">
        <v>3999.1460000000002</v>
      </c>
      <c r="BE95" s="199">
        <f t="shared" si="111"/>
        <v>2.9484853016042947E-2</v>
      </c>
      <c r="BF95" s="66">
        <v>1642</v>
      </c>
      <c r="BI95" s="200">
        <v>134075</v>
      </c>
      <c r="BJ95" s="207">
        <f t="shared" si="112"/>
        <v>-1558.9133799999836</v>
      </c>
      <c r="BK95" s="206">
        <f t="shared" si="113"/>
        <v>137357</v>
      </c>
      <c r="BL95" s="307">
        <f>'FY 2016 by Agency'!BB96*Inflator!$E$13</f>
        <v>156481.16782615808</v>
      </c>
      <c r="BM95" s="204">
        <f t="shared" si="114"/>
        <v>-13486.293640007352</v>
      </c>
      <c r="BN95" s="199">
        <f t="shared" si="115"/>
        <v>-7.9346326194864078E-2</v>
      </c>
      <c r="BO95" s="204">
        <f>'FY 2016 by Agency'!AX96*Inflator!$E$13</f>
        <v>154339.67805920049</v>
      </c>
      <c r="BP95" s="204">
        <f t="shared" si="84"/>
        <v>-15627.78340696494</v>
      </c>
      <c r="BQ95" s="199">
        <f t="shared" si="85"/>
        <v>-9.194573639070254E-2</v>
      </c>
      <c r="BR95" s="204">
        <f>'FY 2016 by Agency'!BE96*Inflator!$E$14</f>
        <v>134939.65047675805</v>
      </c>
      <c r="BS95" s="204">
        <f t="shared" si="86"/>
        <v>-19400.027582442446</v>
      </c>
      <c r="BT95" s="199">
        <f t="shared" si="87"/>
        <v>-0.12569695509537815</v>
      </c>
      <c r="BU95" s="204">
        <f>'FY 2016 by Agency'!BL96*Inflator!$E$14</f>
        <v>139201.8405840286</v>
      </c>
      <c r="BV95" s="204">
        <f t="shared" si="116"/>
        <v>-17279.327242129482</v>
      </c>
      <c r="BW95" s="309">
        <v>141085</v>
      </c>
      <c r="BX95" s="206">
        <f>'FY 2016 by Agency'!BW96*Inflator!E15</f>
        <v>153259.00791556726</v>
      </c>
      <c r="BY95" s="204">
        <f>'FY 2016 by Agency'!BZ96*Inflator!$E$15</f>
        <v>137963.95074758134</v>
      </c>
      <c r="BZ95" s="206">
        <f t="shared" si="82"/>
        <v>6145.3495232419518</v>
      </c>
      <c r="CA95" s="199">
        <f t="shared" si="83"/>
        <v>4.5541466140824369E-2</v>
      </c>
      <c r="CB95" s="308">
        <f>'FY 2016 by Agency'!CF96*Inflator!$E$16</f>
        <v>140783.34940802772</v>
      </c>
      <c r="CC95" s="206">
        <f t="shared" si="105"/>
        <v>2819.3986604463717</v>
      </c>
      <c r="CD95" s="304">
        <f t="shared" si="106"/>
        <v>2.0435763437977646E-2</v>
      </c>
      <c r="CE95" s="206">
        <f>'FY 2016 by Agency'!CK96*Inflator!$E$17</f>
        <v>154584.93340889772</v>
      </c>
      <c r="CF95" s="206">
        <f t="shared" si="117"/>
        <v>13801.584000870003</v>
      </c>
      <c r="CG95" s="562">
        <f t="shared" si="118"/>
        <v>9.8034206878182234E-2</v>
      </c>
      <c r="CH95" s="753">
        <f>'FY 2016 by Agency'!CN96*Inflator!$E$18</f>
        <v>152020</v>
      </c>
      <c r="CI95" s="753">
        <f t="shared" si="119"/>
        <v>-2564.9334088977193</v>
      </c>
      <c r="CJ95" s="304">
        <f t="shared" si="120"/>
        <v>-1.6592389389676995E-2</v>
      </c>
    </row>
    <row r="96" spans="1:88" ht="18" customHeight="1" x14ac:dyDescent="0.25">
      <c r="A96" s="313" t="s">
        <v>209</v>
      </c>
      <c r="B96" s="302">
        <f>'FY 2016 by Agency'!B97*Inflator!$E$2</f>
        <v>2735.2918660287082</v>
      </c>
      <c r="C96" s="302">
        <f>'FY 2016 by Agency'!C97*Inflator!$E$3</f>
        <v>2845.6460587326123</v>
      </c>
      <c r="D96" s="302">
        <f>C96-B96</f>
        <v>110.35419270390412</v>
      </c>
      <c r="E96" s="303">
        <f>(C96-B96)/B96</f>
        <v>4.034457677970732E-2</v>
      </c>
      <c r="F96" s="204">
        <f>'FY 2016 by Agency'!F97*Inflator!$E$4</f>
        <v>2597.6711077274458</v>
      </c>
      <c r="G96" s="204">
        <f>F96-C96</f>
        <v>-247.97495100516653</v>
      </c>
      <c r="H96" s="199">
        <f>(F96-C96)/C96</f>
        <v>-8.7141881276552383E-2</v>
      </c>
      <c r="I96" s="204">
        <f>'FY 2016 by Agency'!I97*Inflator!$E$5</f>
        <v>1870.5050204537004</v>
      </c>
      <c r="J96" s="204">
        <f>I96-F96</f>
        <v>-727.16608727374546</v>
      </c>
      <c r="K96" s="199">
        <f>(I96-F96)/F96</f>
        <v>-0.27993000542316598</v>
      </c>
      <c r="L96" s="204">
        <f>'FY 2016 by Agency'!L97*Inflator!$E$6</f>
        <v>2532.970556161396</v>
      </c>
      <c r="M96" s="204">
        <f>L96-I96</f>
        <v>662.46553570769561</v>
      </c>
      <c r="N96" s="199">
        <f>(L96-I96)/I96</f>
        <v>0.35416399767107348</v>
      </c>
      <c r="O96" s="204">
        <f>'FY 2016 by Agency'!O97*Inflator!$E$7</f>
        <v>2655.6430834213302</v>
      </c>
      <c r="P96" s="204">
        <f t="shared" si="107"/>
        <v>122.67252725993421</v>
      </c>
      <c r="Q96" s="304">
        <f t="shared" si="89"/>
        <v>4.8430301316190173E-2</v>
      </c>
      <c r="R96" s="204">
        <f>'FY 2016 by Agency'!R97*Inflator!$E$8</f>
        <v>2848.4002036659881</v>
      </c>
      <c r="S96" s="204">
        <f t="shared" si="90"/>
        <v>192.75712024465793</v>
      </c>
      <c r="T96" s="304">
        <f t="shared" si="91"/>
        <v>7.2583970883739468E-2</v>
      </c>
      <c r="U96" s="204">
        <f>'FY 2016 by Agency'!U97*Inflator!$E$9</f>
        <v>3399.9131299734745</v>
      </c>
      <c r="V96" s="204">
        <f t="shared" si="108"/>
        <v>551.5129263074864</v>
      </c>
      <c r="W96" s="304">
        <f t="shared" si="109"/>
        <v>0.19362199370638664</v>
      </c>
      <c r="X96" s="204">
        <f>'FY 2016 by Agency'!X97*Inflator!$E$10</f>
        <v>3235.7205462051447</v>
      </c>
      <c r="Y96" s="206">
        <f t="shared" si="110"/>
        <v>-164.19258376832977</v>
      </c>
      <c r="Z96" s="304">
        <f t="shared" si="92"/>
        <v>-4.8293170293327692E-2</v>
      </c>
      <c r="AA96" s="204">
        <f>'FY 2016 by Agency'!AA97*Inflator!$E$11</f>
        <v>3869.2937241159611</v>
      </c>
      <c r="AB96" s="206">
        <f t="shared" si="93"/>
        <v>633.57317791081641</v>
      </c>
      <c r="AC96" s="304">
        <f t="shared" si="94"/>
        <v>0.19580590130191294</v>
      </c>
      <c r="AD96" s="204" t="e">
        <f>'FY 2016 by Agency'!AD97*Inflator!#REF!</f>
        <v>#REF!</v>
      </c>
      <c r="AE96" s="204">
        <f>'FY 2016 by Agency'!AE97*Inflator!$B$8</f>
        <v>0</v>
      </c>
      <c r="AF96" s="204">
        <f>'FY 2016 by Agency'!AF97*Inflator!$E$12</f>
        <v>3744.0949248120305</v>
      </c>
      <c r="AG96" s="204">
        <f t="shared" si="95"/>
        <v>-125.19879930393063</v>
      </c>
      <c r="AH96" s="304">
        <f t="shared" si="96"/>
        <v>-3.2357016094076832E-2</v>
      </c>
      <c r="AI96" s="204">
        <f>'FY 2016 by Agency'!AI97*Inflator!$B$8</f>
        <v>0</v>
      </c>
      <c r="AJ96" s="204">
        <f>'FY 2016 by Agency'!AJ97*Inflator!$B$8</f>
        <v>0</v>
      </c>
      <c r="AK96" s="204">
        <f>'FY 2016 by Agency'!AK97</f>
        <v>3574</v>
      </c>
      <c r="AL96" s="204">
        <f>'FY 2016 by Agency'!AL97</f>
        <v>0</v>
      </c>
      <c r="AM96" s="204">
        <f>'FY 2016 by Agency'!AM97</f>
        <v>3574</v>
      </c>
      <c r="AN96" s="204">
        <f>'FY 2016 by Agency'!AN97</f>
        <v>1127</v>
      </c>
      <c r="AO96" s="204">
        <f>'FY 2016 by Agency'!AO97</f>
        <v>1127</v>
      </c>
      <c r="AP96" s="204">
        <f>'FY 2016 by Agency'!AP97</f>
        <v>0</v>
      </c>
      <c r="AQ96" s="204">
        <f>'FY 2016 by Agency'!AQ97</f>
        <v>0</v>
      </c>
      <c r="AR96" s="204">
        <f>'FY 2016 by Agency'!AR97</f>
        <v>0</v>
      </c>
      <c r="AS96" s="204">
        <f>'FY 2016 by Agency'!AS97</f>
        <v>2204.48596</v>
      </c>
      <c r="AT96" s="204" t="e">
        <f t="shared" si="97"/>
        <v>#REF!</v>
      </c>
      <c r="AU96" s="304" t="e">
        <f t="shared" si="98"/>
        <v>#REF!</v>
      </c>
      <c r="AV96" s="204">
        <f t="shared" si="99"/>
        <v>-1539.6089648120305</v>
      </c>
      <c r="AW96" s="304">
        <f t="shared" si="100"/>
        <v>-0.41120991741130214</v>
      </c>
      <c r="AX96" s="410" t="s">
        <v>412</v>
      </c>
      <c r="AY96" s="207">
        <v>2552.5794000000001</v>
      </c>
      <c r="AZ96" s="207">
        <f t="shared" si="101"/>
        <v>1425.5794000000001</v>
      </c>
      <c r="BA96" s="207">
        <f t="shared" si="102"/>
        <v>-114.02956481203046</v>
      </c>
      <c r="BB96" s="207">
        <f t="shared" si="103"/>
        <v>3630.0653600000001</v>
      </c>
      <c r="BC96" s="304">
        <f t="shared" si="104"/>
        <v>-3.0455842360288199E-2</v>
      </c>
      <c r="BD96" s="306">
        <v>56.835999999999999</v>
      </c>
      <c r="BE96" s="199">
        <f t="shared" si="111"/>
        <v>2.2266104631260442E-2</v>
      </c>
      <c r="BF96" s="66">
        <v>247</v>
      </c>
      <c r="BI96" s="200">
        <v>2278</v>
      </c>
      <c r="BJ96" s="207">
        <f t="shared" si="112"/>
        <v>-274.57940000000008</v>
      </c>
      <c r="BK96" s="206">
        <f t="shared" si="113"/>
        <v>2278</v>
      </c>
      <c r="BL96" s="307">
        <f>'FY 2016 by Agency'!BB97*Inflator!$E$13</f>
        <v>2423.79094106805</v>
      </c>
      <c r="BM96" s="204">
        <f t="shared" si="114"/>
        <v>-1320.3039837439806</v>
      </c>
      <c r="BN96" s="199">
        <f t="shared" si="115"/>
        <v>-0.35263635411441002</v>
      </c>
      <c r="BO96" s="204">
        <f>'FY 2016 by Agency'!AX97*Inflator!$E$13</f>
        <v>2504.6182483979251</v>
      </c>
      <c r="BP96" s="204">
        <f t="shared" si="84"/>
        <v>-1239.4766764141054</v>
      </c>
      <c r="BQ96" s="199">
        <f t="shared" si="85"/>
        <v>-0.33104841124623263</v>
      </c>
      <c r="BR96" s="204">
        <f>'FY 2016 by Agency'!BE97*Inflator!$E$14</f>
        <v>2454.2485101311081</v>
      </c>
      <c r="BS96" s="204">
        <f t="shared" si="86"/>
        <v>-50.369738266816967</v>
      </c>
      <c r="BT96" s="199">
        <f t="shared" si="87"/>
        <v>-2.0110744740854575E-2</v>
      </c>
      <c r="BU96" s="204">
        <f>'FY 2016 by Agency'!BL97*Inflator!$E$14</f>
        <v>2462.8373063170438</v>
      </c>
      <c r="BV96" s="204">
        <f t="shared" si="116"/>
        <v>39.04636524899388</v>
      </c>
      <c r="BW96" s="206">
        <v>2346</v>
      </c>
      <c r="BX96" s="206">
        <f>'FY 2016 by Agency'!BW97*Inflator!E15</f>
        <v>4422.6798592788036</v>
      </c>
      <c r="BY96" s="204">
        <f>'FY 2016 by Agency'!BZ97*Inflator!$E$15</f>
        <v>2789.6578715919081</v>
      </c>
      <c r="BZ96" s="206">
        <f t="shared" si="82"/>
        <v>-108.24851013110811</v>
      </c>
      <c r="CA96" s="199">
        <f t="shared" si="83"/>
        <v>-4.4106580765663934E-2</v>
      </c>
      <c r="CB96" s="308">
        <f>'FY 2016 by Agency'!CF97*Inflator!$E$16</f>
        <v>4055.5859081721046</v>
      </c>
      <c r="CC96" s="206">
        <f t="shared" si="105"/>
        <v>1265.9280365801965</v>
      </c>
      <c r="CD96" s="304">
        <f t="shared" si="106"/>
        <v>0.45379329468018215</v>
      </c>
      <c r="CE96" s="206">
        <f>'FY 2016 by Agency'!CK97*Inflator!$E$17</f>
        <v>5172.2295267781246</v>
      </c>
      <c r="CF96" s="206">
        <f t="shared" si="117"/>
        <v>1116.64361860602</v>
      </c>
      <c r="CG96" s="562">
        <f t="shared" si="118"/>
        <v>0.27533472200797321</v>
      </c>
      <c r="CH96" s="753">
        <f>'FY 2016 by Agency'!CN97*Inflator!$E$18</f>
        <v>5026</v>
      </c>
      <c r="CI96" s="753">
        <f t="shared" si="119"/>
        <v>-146.22952677812464</v>
      </c>
      <c r="CJ96" s="304">
        <f t="shared" si="120"/>
        <v>-2.8272049030510379E-2</v>
      </c>
    </row>
    <row r="97" spans="1:88" ht="18" customHeight="1" x14ac:dyDescent="0.25">
      <c r="A97" s="313" t="s">
        <v>210</v>
      </c>
      <c r="B97" s="310" t="s">
        <v>132</v>
      </c>
      <c r="C97" s="310" t="s">
        <v>132</v>
      </c>
      <c r="D97" s="310" t="s">
        <v>132</v>
      </c>
      <c r="E97" s="310" t="s">
        <v>132</v>
      </c>
      <c r="F97" s="310" t="s">
        <v>132</v>
      </c>
      <c r="G97" s="310" t="s">
        <v>132</v>
      </c>
      <c r="H97" s="310" t="s">
        <v>132</v>
      </c>
      <c r="I97" s="310" t="s">
        <v>132</v>
      </c>
      <c r="J97" s="310" t="s">
        <v>132</v>
      </c>
      <c r="K97" s="310" t="s">
        <v>132</v>
      </c>
      <c r="L97" s="204">
        <f>'FY 2016 by Agency'!L98*Inflator!$E$6</f>
        <v>7149.6826608505999</v>
      </c>
      <c r="M97" s="310" t="s">
        <v>132</v>
      </c>
      <c r="N97" s="310" t="s">
        <v>132</v>
      </c>
      <c r="O97" s="204">
        <f>'FY 2016 by Agency'!O98*Inflator!$E$7</f>
        <v>3813.5237592397038</v>
      </c>
      <c r="P97" s="204">
        <f t="shared" si="107"/>
        <v>-3336.158901610896</v>
      </c>
      <c r="Q97" s="304">
        <f t="shared" si="89"/>
        <v>-0.4666163604545201</v>
      </c>
      <c r="R97" s="204">
        <f>'FY 2016 by Agency'!R98*Inflator!$E$8</f>
        <v>5353.1334012219959</v>
      </c>
      <c r="S97" s="204">
        <f t="shared" si="90"/>
        <v>1539.609641982292</v>
      </c>
      <c r="T97" s="304">
        <f t="shared" si="91"/>
        <v>0.40372362654146454</v>
      </c>
      <c r="U97" s="204">
        <f>'FY 2016 by Agency'!U98*Inflator!$E$9</f>
        <v>5661.345159151193</v>
      </c>
      <c r="V97" s="204">
        <f t="shared" si="108"/>
        <v>308.21175792919712</v>
      </c>
      <c r="W97" s="304">
        <f t="shared" si="109"/>
        <v>5.7575953152753399E-2</v>
      </c>
      <c r="X97" s="204">
        <f>'FY 2016 by Agency'!X98*Inflator!$E$10</f>
        <v>5307.8174023499523</v>
      </c>
      <c r="Y97" s="206">
        <f t="shared" si="110"/>
        <v>-353.52775680124068</v>
      </c>
      <c r="Z97" s="304">
        <f t="shared" si="92"/>
        <v>-6.2445893486954465E-2</v>
      </c>
      <c r="AA97" s="204">
        <f>'FY 2016 by Agency'!AA98*Inflator!$E$11</f>
        <v>5121.5629181267923</v>
      </c>
      <c r="AB97" s="206">
        <f t="shared" si="93"/>
        <v>-186.25448422316003</v>
      </c>
      <c r="AC97" s="304">
        <f t="shared" si="94"/>
        <v>-3.5090597528976565E-2</v>
      </c>
      <c r="AD97" s="204" t="e">
        <f>'FY 2016 by Agency'!AD98*Inflator!#REF!</f>
        <v>#REF!</v>
      </c>
      <c r="AE97" s="204">
        <f>'FY 2016 by Agency'!AE98*Inflator!$B$8</f>
        <v>0</v>
      </c>
      <c r="AF97" s="204">
        <f>'FY 2016 by Agency'!AF98*Inflator!$E$12</f>
        <v>4019.5122180451131</v>
      </c>
      <c r="AG97" s="204">
        <f t="shared" si="95"/>
        <v>-1102.0507000816792</v>
      </c>
      <c r="AH97" s="304">
        <f t="shared" si="96"/>
        <v>-0.21517859249198748</v>
      </c>
      <c r="AI97" s="204">
        <f>'FY 2016 by Agency'!AI98*Inflator!$B$8</f>
        <v>0</v>
      </c>
      <c r="AJ97" s="204">
        <f>'FY 2016 by Agency'!AJ98*Inflator!$B$8</f>
        <v>0</v>
      </c>
      <c r="AK97" s="204">
        <f>'FY 2016 by Agency'!AK98</f>
        <v>4029</v>
      </c>
      <c r="AL97" s="204">
        <f>'FY 2016 by Agency'!AL98</f>
        <v>0</v>
      </c>
      <c r="AM97" s="204">
        <f>'FY 2016 by Agency'!AM98</f>
        <v>4029</v>
      </c>
      <c r="AN97" s="204">
        <f>'FY 2016 by Agency'!AN98</f>
        <v>2043</v>
      </c>
      <c r="AO97" s="204">
        <f>'FY 2016 by Agency'!AO98</f>
        <v>2043</v>
      </c>
      <c r="AP97" s="204">
        <f>'FY 2016 by Agency'!AP98</f>
        <v>1423</v>
      </c>
      <c r="AQ97" s="204">
        <f>'FY 2016 by Agency'!AQ98</f>
        <v>57</v>
      </c>
      <c r="AR97" s="204">
        <f>'FY 2016 by Agency'!AR98</f>
        <v>1480</v>
      </c>
      <c r="AS97" s="204">
        <f>'FY 2016 by Agency'!AS98</f>
        <v>3318.75083</v>
      </c>
      <c r="AT97" s="204" t="e">
        <f t="shared" si="97"/>
        <v>#REF!</v>
      </c>
      <c r="AU97" s="304" t="e">
        <f t="shared" si="98"/>
        <v>#REF!</v>
      </c>
      <c r="AV97" s="204">
        <f t="shared" si="99"/>
        <v>-700.76138804511311</v>
      </c>
      <c r="AW97" s="304">
        <f t="shared" si="100"/>
        <v>-0.17433990743929817</v>
      </c>
      <c r="AX97" s="410" t="s">
        <v>413</v>
      </c>
      <c r="AY97" s="207">
        <v>1994.0572400000001</v>
      </c>
      <c r="AZ97" s="207">
        <f t="shared" si="101"/>
        <v>-48.942759999999907</v>
      </c>
      <c r="BA97" s="207">
        <f t="shared" si="102"/>
        <v>-749.70414804511302</v>
      </c>
      <c r="BB97" s="207">
        <f t="shared" si="103"/>
        <v>3269.80807</v>
      </c>
      <c r="BC97" s="304">
        <f t="shared" si="104"/>
        <v>-0.18651620081645903</v>
      </c>
      <c r="BD97" s="306">
        <v>35.475999999999999</v>
      </c>
      <c r="BE97" s="199">
        <f t="shared" si="111"/>
        <v>1.7790863415736248E-2</v>
      </c>
      <c r="BF97" s="66">
        <v>35</v>
      </c>
      <c r="BI97" s="200">
        <v>1932</v>
      </c>
      <c r="BJ97" s="207">
        <f t="shared" si="112"/>
        <v>-62.057240000000093</v>
      </c>
      <c r="BK97" s="206">
        <f t="shared" si="113"/>
        <v>3412</v>
      </c>
      <c r="BL97" s="307">
        <f>'FY 2016 by Agency'!BB98*Inflator!$E$13</f>
        <v>2021.6720294446138</v>
      </c>
      <c r="BM97" s="204">
        <f t="shared" si="114"/>
        <v>-1997.8401886004992</v>
      </c>
      <c r="BN97" s="199">
        <f t="shared" si="115"/>
        <v>-0.49703548097986561</v>
      </c>
      <c r="BO97" s="204">
        <f>'FY 2016 by Agency'!AX98*Inflator!$E$13</f>
        <v>2124.1977418370461</v>
      </c>
      <c r="BP97" s="204">
        <f t="shared" si="84"/>
        <v>-1895.3144762080669</v>
      </c>
      <c r="BQ97" s="199">
        <f t="shared" si="85"/>
        <v>-0.4715284774354665</v>
      </c>
      <c r="BR97" s="204">
        <f>'FY 2016 by Agency'!BE98*Inflator!$E$14</f>
        <v>1981.8647199046482</v>
      </c>
      <c r="BS97" s="204">
        <f t="shared" si="86"/>
        <v>-142.33302193239797</v>
      </c>
      <c r="BT97" s="199">
        <f t="shared" si="87"/>
        <v>-6.7005542435661244E-2</v>
      </c>
      <c r="BU97" s="204">
        <f>'FY 2016 by Agency'!BL98*Inflator!$E$14</f>
        <v>3478.462455303933</v>
      </c>
      <c r="BV97" s="204">
        <f t="shared" si="116"/>
        <v>1456.7904258593192</v>
      </c>
      <c r="BW97" s="309">
        <v>2007</v>
      </c>
      <c r="BX97" s="206">
        <f>'FY 2016 by Agency'!BW98*Inflator!E15</f>
        <v>3563.9173262972731</v>
      </c>
      <c r="BY97" s="204">
        <f>'FY 2016 by Agency'!BZ98*Inflator!$E$15</f>
        <v>2084.0571679859277</v>
      </c>
      <c r="BZ97" s="206">
        <f t="shared" si="82"/>
        <v>25.135280095351845</v>
      </c>
      <c r="CA97" s="199">
        <f t="shared" si="83"/>
        <v>1.268264167725896E-2</v>
      </c>
      <c r="CB97" s="308">
        <f>'FY 2016 by Agency'!CF98*Inflator!$E$16</f>
        <v>2150.5633843488304</v>
      </c>
      <c r="CC97" s="206">
        <f t="shared" si="105"/>
        <v>66.506216362902705</v>
      </c>
      <c r="CD97" s="304">
        <f t="shared" si="106"/>
        <v>3.1911896364712283E-2</v>
      </c>
      <c r="CE97" s="206">
        <f>'FY 2016 by Agency'!CK98*Inflator!$E$17</f>
        <v>2128.7206007367527</v>
      </c>
      <c r="CF97" s="206">
        <f t="shared" si="117"/>
        <v>-21.84278361207771</v>
      </c>
      <c r="CG97" s="562">
        <f t="shared" si="118"/>
        <v>-1.0156772765240534E-2</v>
      </c>
      <c r="CH97" s="753">
        <f>'FY 2016 by Agency'!CN98*Inflator!$E$18</f>
        <v>4552</v>
      </c>
      <c r="CI97" s="753">
        <f t="shared" si="119"/>
        <v>2423.2793992632473</v>
      </c>
      <c r="CJ97" s="304">
        <f t="shared" si="120"/>
        <v>1.1383736308205725</v>
      </c>
    </row>
    <row r="98" spans="1:88" ht="18" customHeight="1" x14ac:dyDescent="0.25">
      <c r="A98" s="313" t="s">
        <v>211</v>
      </c>
      <c r="B98" s="302">
        <f>'FY 2016 by Agency'!B99*Inflator!$E$2</f>
        <v>2991.0071770334926</v>
      </c>
      <c r="C98" s="302">
        <f>'FY 2016 by Agency'!C99*Inflator!$E$3</f>
        <v>4821.1704018547143</v>
      </c>
      <c r="D98" s="302">
        <f t="shared" ref="D98:D106" si="121">C98-B98</f>
        <v>1830.1632248212218</v>
      </c>
      <c r="E98" s="303">
        <f>(C98-B98)/B98</f>
        <v>0.61188861025615926</v>
      </c>
      <c r="F98" s="204">
        <f>'FY 2016 by Agency'!F99*Inflator!$E$4</f>
        <v>3906.107346783403</v>
      </c>
      <c r="G98" s="204">
        <f t="shared" ref="G98:G106" si="122">F98-C98</f>
        <v>-915.06305507131128</v>
      </c>
      <c r="H98" s="199">
        <f t="shared" ref="H98:H103" si="123">(F98-C98)/C98</f>
        <v>-0.18980101900552709</v>
      </c>
      <c r="I98" s="204">
        <f>'FY 2016 by Agency'!I99*Inflator!$E$5</f>
        <v>4301.0896243956868</v>
      </c>
      <c r="J98" s="204">
        <f t="shared" ref="J98:J106" si="124">I98-F98</f>
        <v>394.98227761228372</v>
      </c>
      <c r="K98" s="199">
        <f t="shared" ref="K98:K103" si="125">(I98-F98)/F98</f>
        <v>0.1011191558617925</v>
      </c>
      <c r="L98" s="204">
        <f>'FY 2016 by Agency'!L99*Inflator!$E$6</f>
        <v>0</v>
      </c>
      <c r="M98" s="204">
        <f t="shared" ref="M98:M106" si="126">L98-I98</f>
        <v>-4301.0896243956868</v>
      </c>
      <c r="N98" s="199">
        <f t="shared" ref="N98:N106" si="127">(L98-I98)/I98</f>
        <v>-1</v>
      </c>
      <c r="O98" s="204">
        <f>'FY 2016 by Agency'!O99*Inflator!$E$7</f>
        <v>0</v>
      </c>
      <c r="P98" s="204"/>
      <c r="Q98" s="304"/>
      <c r="R98" s="204"/>
      <c r="S98" s="204"/>
      <c r="T98" s="304"/>
      <c r="U98" s="204"/>
      <c r="V98" s="204"/>
      <c r="W98" s="304"/>
      <c r="X98" s="204"/>
      <c r="Y98" s="206"/>
      <c r="Z98" s="304"/>
      <c r="AA98" s="204"/>
      <c r="AB98" s="206"/>
      <c r="AC98" s="304"/>
      <c r="AD98" s="204"/>
      <c r="AE98" s="204"/>
      <c r="AF98" s="204"/>
      <c r="AG98" s="204"/>
      <c r="AH98" s="304"/>
      <c r="AI98" s="204"/>
      <c r="AJ98" s="204"/>
      <c r="AK98" s="204"/>
      <c r="AL98" s="204"/>
      <c r="AM98" s="204"/>
      <c r="AO98" s="204"/>
      <c r="AU98" s="304"/>
      <c r="AV98" s="204"/>
      <c r="AW98" s="304"/>
      <c r="AX98" s="410"/>
      <c r="AY98" s="207"/>
      <c r="AZ98" s="207"/>
      <c r="BA98" s="207"/>
      <c r="BB98" s="207"/>
      <c r="BC98" s="304"/>
      <c r="BD98" s="306"/>
      <c r="BE98" s="199"/>
      <c r="BI98" s="200"/>
      <c r="BJ98" s="207"/>
      <c r="BK98" s="206">
        <f t="shared" si="113"/>
        <v>0</v>
      </c>
      <c r="BL98" s="307">
        <f>'FY 2016 by Agency'!BB99*Inflator!$E$13</f>
        <v>0</v>
      </c>
      <c r="BM98" s="204">
        <f t="shared" si="114"/>
        <v>0</v>
      </c>
      <c r="BN98" s="199" t="e">
        <f t="shared" si="115"/>
        <v>#DIV/0!</v>
      </c>
      <c r="BO98" s="204">
        <f>'FY 2016 by Agency'!AX99*Inflator!$E$13</f>
        <v>0</v>
      </c>
      <c r="BP98" s="204">
        <f t="shared" si="84"/>
        <v>0</v>
      </c>
      <c r="BQ98" s="199" t="e">
        <f t="shared" si="85"/>
        <v>#DIV/0!</v>
      </c>
      <c r="BR98" s="204">
        <f>'FY 2016 by Agency'!BE99*Inflator!$E$14</f>
        <v>0</v>
      </c>
      <c r="BS98" s="204">
        <f t="shared" si="86"/>
        <v>0</v>
      </c>
      <c r="BT98" s="199" t="e">
        <f t="shared" si="87"/>
        <v>#DIV/0!</v>
      </c>
      <c r="BU98" s="204">
        <f>'FY 2016 by Agency'!BL99*Inflator!$E$14</f>
        <v>0</v>
      </c>
      <c r="BV98" s="204">
        <f t="shared" si="116"/>
        <v>0</v>
      </c>
      <c r="BW98" s="206">
        <v>0</v>
      </c>
      <c r="BX98" s="206">
        <f>'FY 2016 by Agency'!BW99*Inflator!E15</f>
        <v>0</v>
      </c>
      <c r="BY98" s="204">
        <f>'FY 2016 by Agency'!BZ99*Inflator!$E$15</f>
        <v>0</v>
      </c>
      <c r="BZ98" s="206">
        <f t="shared" si="82"/>
        <v>0</v>
      </c>
      <c r="CA98" s="199" t="e">
        <f t="shared" si="83"/>
        <v>#DIV/0!</v>
      </c>
      <c r="CB98" s="308">
        <f>'FY 2016 by Agency'!CF99*Inflator!$E$16</f>
        <v>0</v>
      </c>
      <c r="CC98" s="206">
        <f t="shared" si="105"/>
        <v>0</v>
      </c>
      <c r="CD98" s="304" t="e">
        <f t="shared" si="106"/>
        <v>#DIV/0!</v>
      </c>
      <c r="CE98" s="206">
        <f>'FY 2016 by Agency'!CK99*Inflator!$E$17</f>
        <v>0</v>
      </c>
      <c r="CF98" s="206">
        <f t="shared" si="117"/>
        <v>0</v>
      </c>
      <c r="CG98" s="562" t="e">
        <f t="shared" si="118"/>
        <v>#DIV/0!</v>
      </c>
      <c r="CH98" s="753">
        <f>'FY 2016 by Agency'!CN99*Inflator!$E$18</f>
        <v>0</v>
      </c>
      <c r="CI98" s="753">
        <f t="shared" si="119"/>
        <v>0</v>
      </c>
      <c r="CJ98" s="304" t="e">
        <f t="shared" si="120"/>
        <v>#DIV/0!</v>
      </c>
    </row>
    <row r="99" spans="1:88" ht="18" customHeight="1" x14ac:dyDescent="0.25">
      <c r="A99" s="313" t="s">
        <v>212</v>
      </c>
      <c r="B99" s="302">
        <f>'FY 2016 by Agency'!B100*Inflator!$E$2</f>
        <v>211.18062200956936</v>
      </c>
      <c r="C99" s="302">
        <f>'FY 2016 by Agency'!C100*Inflator!$E$3</f>
        <v>229.71213292117466</v>
      </c>
      <c r="D99" s="302">
        <f t="shared" si="121"/>
        <v>18.531510911605295</v>
      </c>
      <c r="E99" s="303">
        <f>(C99-B99)/B99</f>
        <v>8.7751947765195834E-2</v>
      </c>
      <c r="F99" s="204">
        <f>'FY 2016 by Agency'!F100*Inflator!$E$4</f>
        <v>249.61781499809669</v>
      </c>
      <c r="G99" s="204">
        <f t="shared" si="122"/>
        <v>19.905682076922034</v>
      </c>
      <c r="H99" s="199">
        <f t="shared" si="123"/>
        <v>8.6654900739407764E-2</v>
      </c>
      <c r="I99" s="204">
        <f>'FY 2016 by Agency'!I100*Inflator!$E$5</f>
        <v>242.52249907028639</v>
      </c>
      <c r="J99" s="204">
        <f t="shared" si="124"/>
        <v>-7.0953159278103044</v>
      </c>
      <c r="K99" s="199">
        <f t="shared" si="125"/>
        <v>-2.8424717714416358E-2</v>
      </c>
      <c r="L99" s="204">
        <f>'FY 2016 by Agency'!L100*Inflator!$E$6</f>
        <v>231.81788440567067</v>
      </c>
      <c r="M99" s="204">
        <f t="shared" si="126"/>
        <v>-10.704614664615718</v>
      </c>
      <c r="N99" s="199">
        <f t="shared" si="127"/>
        <v>-4.413864571597282E-2</v>
      </c>
      <c r="O99" s="204">
        <f>'FY 2016 by Agency'!O100*Inflator!$E$7</f>
        <v>258.7159450897571</v>
      </c>
      <c r="P99" s="204">
        <f t="shared" si="107"/>
        <v>26.898060684086431</v>
      </c>
      <c r="Q99" s="304">
        <f t="shared" si="89"/>
        <v>0.11603099887244273</v>
      </c>
      <c r="R99" s="204">
        <f>'FY 2016 by Agency'!R100*Inflator!$E$8</f>
        <v>277.62423625254581</v>
      </c>
      <c r="S99" s="204">
        <f t="shared" si="90"/>
        <v>18.908291162788714</v>
      </c>
      <c r="T99" s="304">
        <f t="shared" si="91"/>
        <v>7.3085140369793619E-2</v>
      </c>
      <c r="U99" s="204">
        <f>'FY 2016 by Agency'!U100*Inflator!$E$9</f>
        <v>284.32161803713524</v>
      </c>
      <c r="V99" s="204">
        <f t="shared" si="108"/>
        <v>6.6973817845894246</v>
      </c>
      <c r="W99" s="304">
        <f t="shared" si="109"/>
        <v>2.412390890288495E-2</v>
      </c>
      <c r="X99" s="204">
        <f>'FY 2016 by Agency'!X100*Inflator!$E$10</f>
        <v>284.8990155604954</v>
      </c>
      <c r="Y99" s="206">
        <f t="shared" si="110"/>
        <v>0.57739752336016181</v>
      </c>
      <c r="Z99" s="304">
        <f t="shared" si="92"/>
        <v>2.0307900867557243E-3</v>
      </c>
      <c r="AA99" s="204">
        <f>'FY 2016 by Agency'!AA100*Inflator!$E$11</f>
        <v>311.05861739407459</v>
      </c>
      <c r="AB99" s="206">
        <f t="shared" si="93"/>
        <v>26.159601833579188</v>
      </c>
      <c r="AC99" s="304">
        <f t="shared" si="94"/>
        <v>9.1820611531823512E-2</v>
      </c>
      <c r="AD99" s="204" t="e">
        <f>'FY 2016 by Agency'!AD100*Inflator!#REF!</f>
        <v>#REF!</v>
      </c>
      <c r="AE99" s="204">
        <f>'FY 2016 by Agency'!AE100*Inflator!$B$8</f>
        <v>0</v>
      </c>
      <c r="AF99" s="204">
        <f>'FY 2016 by Agency'!AF100*Inflator!$E$12</f>
        <v>0</v>
      </c>
      <c r="AG99" s="204">
        <f t="shared" si="95"/>
        <v>-311.05861739407459</v>
      </c>
      <c r="AH99" s="304">
        <f t="shared" si="96"/>
        <v>-1</v>
      </c>
      <c r="AI99" s="204">
        <f>'FY 2016 by Agency'!AI100*Inflator!$B$8</f>
        <v>0</v>
      </c>
      <c r="AJ99" s="204">
        <f>'FY 2016 by Agency'!AJ100*Inflator!$B$8</f>
        <v>0</v>
      </c>
      <c r="AK99" s="204">
        <f>'FY 2016 by Agency'!AK100</f>
        <v>0</v>
      </c>
      <c r="AL99" s="204">
        <f>'FY 2016 by Agency'!AL100</f>
        <v>0</v>
      </c>
      <c r="AM99" s="204">
        <f>'FY 2016 by Agency'!AM100</f>
        <v>0</v>
      </c>
      <c r="AN99" s="204">
        <f>'FY 2016 by Agency'!AN100</f>
        <v>0</v>
      </c>
      <c r="AO99" s="204">
        <f>'FY 2016 by Agency'!AO100</f>
        <v>0</v>
      </c>
      <c r="AP99" s="204">
        <f>'FY 2016 by Agency'!AP100</f>
        <v>0</v>
      </c>
      <c r="AQ99" s="204">
        <f>'FY 2016 by Agency'!AQ100</f>
        <v>0</v>
      </c>
      <c r="AR99" s="204">
        <f>'FY 2016 by Agency'!AR100</f>
        <v>0</v>
      </c>
      <c r="AS99" s="204">
        <f>'FY 2016 by Agency'!AS100</f>
        <v>0</v>
      </c>
      <c r="AT99" s="204" t="e">
        <f t="shared" si="97"/>
        <v>#REF!</v>
      </c>
      <c r="AU99" s="304" t="e">
        <f t="shared" si="98"/>
        <v>#REF!</v>
      </c>
      <c r="AV99" s="204">
        <f t="shared" si="99"/>
        <v>0</v>
      </c>
      <c r="AW99" s="304" t="e">
        <f t="shared" si="100"/>
        <v>#DIV/0!</v>
      </c>
      <c r="AX99" s="410" t="s">
        <v>414</v>
      </c>
      <c r="AY99" s="207">
        <v>0</v>
      </c>
      <c r="AZ99" s="207">
        <f t="shared" si="101"/>
        <v>0</v>
      </c>
      <c r="BA99" s="207">
        <f t="shared" si="102"/>
        <v>0</v>
      </c>
      <c r="BB99" s="207">
        <f t="shared" si="103"/>
        <v>0</v>
      </c>
      <c r="BC99" s="304" t="e">
        <f t="shared" si="104"/>
        <v>#DIV/0!</v>
      </c>
      <c r="BD99" s="306"/>
      <c r="BE99" s="199"/>
      <c r="BI99" s="200">
        <v>0</v>
      </c>
      <c r="BJ99" s="207">
        <f t="shared" si="112"/>
        <v>0</v>
      </c>
      <c r="BK99" s="206">
        <f t="shared" si="113"/>
        <v>0</v>
      </c>
      <c r="BL99" s="307">
        <f>'FY 2016 by Agency'!BB100*Inflator!$E$13</f>
        <v>0</v>
      </c>
      <c r="BM99" s="204">
        <f t="shared" si="114"/>
        <v>0</v>
      </c>
      <c r="BN99" s="199" t="e">
        <f t="shared" si="115"/>
        <v>#DIV/0!</v>
      </c>
      <c r="BO99" s="204">
        <f>'FY 2016 by Agency'!AX100*Inflator!$E$13</f>
        <v>0</v>
      </c>
      <c r="BP99" s="204">
        <f t="shared" si="84"/>
        <v>0</v>
      </c>
      <c r="BQ99" s="199" t="e">
        <f t="shared" si="85"/>
        <v>#DIV/0!</v>
      </c>
      <c r="BR99" s="204">
        <f>'FY 2016 by Agency'!BE100*Inflator!$E$14</f>
        <v>0</v>
      </c>
      <c r="BS99" s="204">
        <f t="shared" si="86"/>
        <v>0</v>
      </c>
      <c r="BT99" s="199" t="e">
        <f t="shared" si="87"/>
        <v>#DIV/0!</v>
      </c>
      <c r="BU99" s="204">
        <f>'FY 2016 by Agency'!BL100*Inflator!$E$14</f>
        <v>0</v>
      </c>
      <c r="BV99" s="204">
        <f t="shared" si="116"/>
        <v>0</v>
      </c>
      <c r="BW99" s="206">
        <v>0</v>
      </c>
      <c r="BX99" s="206">
        <f>'FY 2016 by Agency'!BW100*Inflator!E15</f>
        <v>0</v>
      </c>
      <c r="BY99" s="204">
        <f>'FY 2016 by Agency'!BZ100*Inflator!$E$15</f>
        <v>0</v>
      </c>
      <c r="BZ99" s="206">
        <f t="shared" si="82"/>
        <v>0</v>
      </c>
      <c r="CA99" s="199" t="e">
        <f t="shared" si="83"/>
        <v>#DIV/0!</v>
      </c>
      <c r="CB99" s="308">
        <f>'FY 2016 by Agency'!CF100*Inflator!$E$16</f>
        <v>0</v>
      </c>
      <c r="CC99" s="206">
        <f t="shared" si="105"/>
        <v>0</v>
      </c>
      <c r="CD99" s="304" t="e">
        <f t="shared" si="106"/>
        <v>#DIV/0!</v>
      </c>
      <c r="CE99" s="206">
        <f>'FY 2016 by Agency'!CK100*Inflator!$E$17</f>
        <v>0</v>
      </c>
      <c r="CF99" s="206">
        <f t="shared" si="117"/>
        <v>0</v>
      </c>
      <c r="CG99" s="562" t="e">
        <f t="shared" si="118"/>
        <v>#DIV/0!</v>
      </c>
      <c r="CH99" s="753">
        <f>'FY 2016 by Agency'!CN100*Inflator!$E$18</f>
        <v>0</v>
      </c>
      <c r="CI99" s="753">
        <f t="shared" si="119"/>
        <v>0</v>
      </c>
      <c r="CJ99" s="304" t="e">
        <f t="shared" si="120"/>
        <v>#DIV/0!</v>
      </c>
    </row>
    <row r="100" spans="1:88" ht="18" customHeight="1" x14ac:dyDescent="0.25">
      <c r="A100" s="313" t="s">
        <v>213</v>
      </c>
      <c r="B100" s="302">
        <f>'FY 2016 by Agency'!B101*Inflator!$E$2</f>
        <v>119.23803827751196</v>
      </c>
      <c r="C100" s="302">
        <f>'FY 2016 by Agency'!C101*Inflator!$E$3</f>
        <v>116.94435857805256</v>
      </c>
      <c r="D100" s="302">
        <f t="shared" si="121"/>
        <v>-2.2936796994594033</v>
      </c>
      <c r="E100" s="303">
        <f>(C100-B100)/B100</f>
        <v>-1.9236140853987754E-2</v>
      </c>
      <c r="F100" s="204">
        <f>'FY 2016 by Agency'!F101*Inflator!$E$4</f>
        <v>127.55196041111535</v>
      </c>
      <c r="G100" s="204">
        <f t="shared" si="122"/>
        <v>10.607601833062787</v>
      </c>
      <c r="H100" s="199">
        <f t="shared" si="123"/>
        <v>9.070640056555547E-2</v>
      </c>
      <c r="I100" s="204">
        <f>'FY 2016 by Agency'!I101*Inflator!$E$5</f>
        <v>151.40907400520641</v>
      </c>
      <c r="J100" s="204">
        <f t="shared" si="124"/>
        <v>23.857113594091061</v>
      </c>
      <c r="K100" s="199">
        <f t="shared" si="125"/>
        <v>0.18703839217521007</v>
      </c>
      <c r="L100" s="204">
        <f>'FY 2016 by Agency'!L101*Inflator!$E$6</f>
        <v>138.82878953107962</v>
      </c>
      <c r="M100" s="204">
        <f t="shared" si="126"/>
        <v>-12.580284474126785</v>
      </c>
      <c r="N100" s="199">
        <f t="shared" si="127"/>
        <v>-8.3088048432910927E-2</v>
      </c>
      <c r="O100" s="204">
        <f>'FY 2016 by Agency'!O101*Inflator!$E$7</f>
        <v>130.62618796198521</v>
      </c>
      <c r="P100" s="204">
        <f t="shared" si="107"/>
        <v>-8.2026015690944121</v>
      </c>
      <c r="Q100" s="304">
        <f t="shared" si="89"/>
        <v>-5.9084297981710013E-2</v>
      </c>
      <c r="R100" s="204">
        <f>'FY 2016 by Agency'!R101*Inflator!$E$8</f>
        <v>149.20773930753563</v>
      </c>
      <c r="S100" s="204">
        <f t="shared" si="90"/>
        <v>18.581551345550423</v>
      </c>
      <c r="T100" s="304">
        <f t="shared" si="91"/>
        <v>0.14224981709607892</v>
      </c>
      <c r="U100" s="204">
        <f>'FY 2016 by Agency'!U101*Inflator!$E$9</f>
        <v>161.27486737400528</v>
      </c>
      <c r="V100" s="204">
        <f t="shared" si="108"/>
        <v>12.06712806646965</v>
      </c>
      <c r="W100" s="304">
        <f t="shared" si="109"/>
        <v>8.0874679305996344E-2</v>
      </c>
      <c r="X100" s="204">
        <f>'FY 2016 by Agency'!X101*Inflator!$E$10</f>
        <v>117.84979358526518</v>
      </c>
      <c r="Y100" s="206">
        <f t="shared" si="110"/>
        <v>-43.425073788740107</v>
      </c>
      <c r="Z100" s="304">
        <f t="shared" si="92"/>
        <v>-0.26926125871822904</v>
      </c>
      <c r="AA100" s="204">
        <f>'FY 2016 by Agency'!AA101*Inflator!$E$11</f>
        <v>174.46830200700862</v>
      </c>
      <c r="AB100" s="206">
        <f t="shared" si="93"/>
        <v>56.618508421743442</v>
      </c>
      <c r="AC100" s="304">
        <f t="shared" si="94"/>
        <v>0.48042942375439585</v>
      </c>
      <c r="AD100" s="204" t="e">
        <f>'FY 2016 by Agency'!AD101*Inflator!#REF!</f>
        <v>#REF!</v>
      </c>
      <c r="AE100" s="204">
        <f>'FY 2016 by Agency'!AE101*Inflator!$B$8</f>
        <v>0</v>
      </c>
      <c r="AF100" s="204">
        <f>'FY 2016 by Agency'!AF101*Inflator!$E$12</f>
        <v>0</v>
      </c>
      <c r="AG100" s="204">
        <f t="shared" si="95"/>
        <v>-174.46830200700862</v>
      </c>
      <c r="AH100" s="304">
        <f t="shared" si="96"/>
        <v>-1</v>
      </c>
      <c r="AI100" s="204">
        <f>'FY 2016 by Agency'!AI101*Inflator!$B$8</f>
        <v>0</v>
      </c>
      <c r="AJ100" s="204">
        <f>'FY 2016 by Agency'!AJ101*Inflator!$B$8</f>
        <v>0</v>
      </c>
      <c r="AK100" s="204">
        <f>'FY 2016 by Agency'!AK101</f>
        <v>0</v>
      </c>
      <c r="AL100" s="204">
        <f>'FY 2016 by Agency'!AL101</f>
        <v>0</v>
      </c>
      <c r="AM100" s="204">
        <f>'FY 2016 by Agency'!AM101</f>
        <v>0</v>
      </c>
      <c r="AN100" s="204">
        <f>'FY 2016 by Agency'!AN101</f>
        <v>0</v>
      </c>
      <c r="AO100" s="204">
        <f>'FY 2016 by Agency'!AO101</f>
        <v>0</v>
      </c>
      <c r="AP100" s="204">
        <f>'FY 2016 by Agency'!AP101</f>
        <v>0</v>
      </c>
      <c r="AQ100" s="204">
        <f>'FY 2016 by Agency'!AQ101</f>
        <v>0</v>
      </c>
      <c r="AR100" s="204">
        <f>'FY 2016 by Agency'!AR101</f>
        <v>0</v>
      </c>
      <c r="AS100" s="204">
        <f>'FY 2016 by Agency'!AS101</f>
        <v>0</v>
      </c>
      <c r="AT100" s="204" t="e">
        <f t="shared" si="97"/>
        <v>#REF!</v>
      </c>
      <c r="AU100" s="304" t="e">
        <f t="shared" si="98"/>
        <v>#REF!</v>
      </c>
      <c r="AV100" s="204">
        <f t="shared" si="99"/>
        <v>0</v>
      </c>
      <c r="AW100" s="304" t="e">
        <f t="shared" si="100"/>
        <v>#DIV/0!</v>
      </c>
      <c r="AX100" s="410" t="s">
        <v>415</v>
      </c>
      <c r="AY100" s="207">
        <v>0</v>
      </c>
      <c r="AZ100" s="207">
        <f t="shared" si="101"/>
        <v>0</v>
      </c>
      <c r="BA100" s="207">
        <f t="shared" si="102"/>
        <v>0</v>
      </c>
      <c r="BB100" s="207">
        <f t="shared" si="103"/>
        <v>0</v>
      </c>
      <c r="BC100" s="304" t="e">
        <f t="shared" si="104"/>
        <v>#DIV/0!</v>
      </c>
      <c r="BD100" s="306"/>
      <c r="BE100" s="199"/>
      <c r="BI100" s="200">
        <v>0</v>
      </c>
      <c r="BJ100" s="207">
        <f t="shared" si="112"/>
        <v>0</v>
      </c>
      <c r="BK100" s="206">
        <f t="shared" si="113"/>
        <v>0</v>
      </c>
      <c r="BL100" s="307">
        <f>'FY 2016 by Agency'!BB101*Inflator!$E$13</f>
        <v>0</v>
      </c>
      <c r="BM100" s="204">
        <f t="shared" si="114"/>
        <v>0</v>
      </c>
      <c r="BN100" s="199" t="e">
        <f t="shared" si="115"/>
        <v>#DIV/0!</v>
      </c>
      <c r="BO100" s="204">
        <f>'FY 2016 by Agency'!AX101*Inflator!$E$13</f>
        <v>0</v>
      </c>
      <c r="BP100" s="204">
        <f t="shared" si="84"/>
        <v>0</v>
      </c>
      <c r="BQ100" s="199" t="e">
        <f t="shared" si="85"/>
        <v>#DIV/0!</v>
      </c>
      <c r="BR100" s="204">
        <f>'FY 2016 by Agency'!BE101*Inflator!$E$14</f>
        <v>0</v>
      </c>
      <c r="BS100" s="204">
        <f t="shared" si="86"/>
        <v>0</v>
      </c>
      <c r="BT100" s="199" t="e">
        <f t="shared" si="87"/>
        <v>#DIV/0!</v>
      </c>
      <c r="BU100" s="204">
        <f>'FY 2016 by Agency'!BL101*Inflator!$E$14</f>
        <v>0</v>
      </c>
      <c r="BV100" s="204">
        <f t="shared" si="116"/>
        <v>0</v>
      </c>
      <c r="BW100" s="206">
        <v>0</v>
      </c>
      <c r="BX100" s="206">
        <f>'FY 2016 by Agency'!BW101*Inflator!E15</f>
        <v>7.3940193491644672</v>
      </c>
      <c r="BY100" s="204">
        <f>'FY 2016 by Agency'!BZ101*Inflator!$E$15</f>
        <v>0</v>
      </c>
      <c r="BZ100" s="206">
        <f t="shared" si="82"/>
        <v>0</v>
      </c>
      <c r="CA100" s="199" t="e">
        <f t="shared" si="83"/>
        <v>#DIV/0!</v>
      </c>
      <c r="CB100" s="308">
        <f>'FY 2016 by Agency'!CF101*Inflator!$E$16</f>
        <v>60.344787756280674</v>
      </c>
      <c r="CC100" s="206">
        <f t="shared" si="105"/>
        <v>60.344787756280674</v>
      </c>
      <c r="CD100" s="304" t="e">
        <f t="shared" si="106"/>
        <v>#DIV/0!</v>
      </c>
      <c r="CE100" s="206">
        <f>'FY 2016 by Agency'!CK101*Inflator!$E$17</f>
        <v>0</v>
      </c>
      <c r="CF100" s="206">
        <f t="shared" si="117"/>
        <v>-60.344787756280674</v>
      </c>
      <c r="CG100" s="562">
        <f t="shared" si="118"/>
        <v>-1</v>
      </c>
      <c r="CH100" s="753">
        <f>'FY 2016 by Agency'!CN101*Inflator!$E$18</f>
        <v>0</v>
      </c>
      <c r="CI100" s="753">
        <f t="shared" si="119"/>
        <v>0</v>
      </c>
      <c r="CJ100" s="304" t="e">
        <f t="shared" si="120"/>
        <v>#DIV/0!</v>
      </c>
    </row>
    <row r="101" spans="1:88" ht="18" customHeight="1" x14ac:dyDescent="0.25">
      <c r="A101" s="313" t="s">
        <v>214</v>
      </c>
      <c r="B101" s="302">
        <f>'FY 2016 by Agency'!B102*Inflator!$E$2</f>
        <v>313.17942583732059</v>
      </c>
      <c r="C101" s="302">
        <f>'FY 2016 by Agency'!C102*Inflator!$E$3</f>
        <v>1555.0815301391037</v>
      </c>
      <c r="D101" s="302">
        <f t="shared" si="121"/>
        <v>1241.9021043017831</v>
      </c>
      <c r="E101" s="303">
        <f>(C101-B101)/B101</f>
        <v>3.9654651673921983</v>
      </c>
      <c r="F101" s="204">
        <f>'FY 2016 by Agency'!F102*Inflator!$E$4</f>
        <v>1601.942900647126</v>
      </c>
      <c r="G101" s="204">
        <f t="shared" si="122"/>
        <v>46.861370508022219</v>
      </c>
      <c r="H101" s="199">
        <f t="shared" si="123"/>
        <v>3.0134349614344927E-2</v>
      </c>
      <c r="I101" s="204">
        <f>'FY 2016 by Agency'!I102*Inflator!$E$5</f>
        <v>1774.0319821494982</v>
      </c>
      <c r="J101" s="204">
        <f t="shared" si="124"/>
        <v>172.08908150237221</v>
      </c>
      <c r="K101" s="199">
        <f t="shared" si="125"/>
        <v>0.10742522809823905</v>
      </c>
      <c r="L101" s="204">
        <f>'FY 2016 by Agency'!L102*Inflator!$E$6</f>
        <v>1891.2148309705562</v>
      </c>
      <c r="M101" s="204">
        <f t="shared" si="126"/>
        <v>117.18284882105809</v>
      </c>
      <c r="N101" s="199">
        <f t="shared" si="127"/>
        <v>6.6054530019844404E-2</v>
      </c>
      <c r="O101" s="204">
        <f>'FY 2016 by Agency'!O102*Inflator!$E$7</f>
        <v>2174.9894403379089</v>
      </c>
      <c r="P101" s="204">
        <f t="shared" si="107"/>
        <v>283.7746093673527</v>
      </c>
      <c r="Q101" s="304">
        <f t="shared" si="89"/>
        <v>0.15004884940634791</v>
      </c>
      <c r="R101" s="204">
        <f>'FY 2016 by Agency'!R102*Inflator!$E$8</f>
        <v>2546.3156822810593</v>
      </c>
      <c r="S101" s="204">
        <f t="shared" si="90"/>
        <v>371.32624194315031</v>
      </c>
      <c r="T101" s="304">
        <f t="shared" si="91"/>
        <v>0.17072553781477698</v>
      </c>
      <c r="U101" s="204">
        <f>'FY 2016 by Agency'!U102*Inflator!$E$9</f>
        <v>2617.4313660477451</v>
      </c>
      <c r="V101" s="204">
        <f t="shared" si="108"/>
        <v>71.115683766685834</v>
      </c>
      <c r="W101" s="304">
        <f t="shared" si="109"/>
        <v>2.7928855900136648E-2</v>
      </c>
      <c r="X101" s="204">
        <f>'FY 2016 by Agency'!X102*Inflator!$E$10</f>
        <v>2611.0022229279139</v>
      </c>
      <c r="Y101" s="206">
        <f t="shared" si="110"/>
        <v>-6.4291431198312239</v>
      </c>
      <c r="Z101" s="304">
        <f t="shared" si="92"/>
        <v>-2.456279543077023E-3</v>
      </c>
      <c r="AA101" s="204">
        <f>'FY 2016 by Agency'!AA102*Inflator!$E$11</f>
        <v>3004.9869385154511</v>
      </c>
      <c r="AB101" s="206">
        <f t="shared" si="93"/>
        <v>393.98471558753727</v>
      </c>
      <c r="AC101" s="304">
        <f t="shared" si="94"/>
        <v>0.15089405597890776</v>
      </c>
      <c r="AD101" s="204" t="e">
        <f>'FY 2016 by Agency'!AD102*Inflator!#REF!</f>
        <v>#REF!</v>
      </c>
      <c r="AE101" s="204">
        <f>'FY 2016 by Agency'!AE102*Inflator!$B$8</f>
        <v>0</v>
      </c>
      <c r="AF101" s="204">
        <f>'FY 2016 by Agency'!AF102*Inflator!$E$12</f>
        <v>2920.1005639097748</v>
      </c>
      <c r="AG101" s="204">
        <f t="shared" si="95"/>
        <v>-84.886374605676338</v>
      </c>
      <c r="AH101" s="304">
        <f t="shared" si="96"/>
        <v>-2.8248500357080625E-2</v>
      </c>
      <c r="AI101" s="204">
        <f>'FY 2016 by Agency'!AI102*Inflator!$B$8</f>
        <v>0</v>
      </c>
      <c r="AJ101" s="204">
        <f>'FY 2016 by Agency'!AJ102*Inflator!$B$8</f>
        <v>0</v>
      </c>
      <c r="AK101" s="204">
        <f>'FY 2016 by Agency'!AK102</f>
        <v>2687</v>
      </c>
      <c r="AL101" s="204">
        <f>'FY 2016 by Agency'!AL102</f>
        <v>0</v>
      </c>
      <c r="AM101" s="204">
        <f>'FY 2016 by Agency'!AM102</f>
        <v>2687</v>
      </c>
      <c r="AN101" s="204">
        <f>'FY 2016 by Agency'!AN102</f>
        <v>2070</v>
      </c>
      <c r="AO101" s="204">
        <f>'FY 2016 by Agency'!AO102</f>
        <v>2070</v>
      </c>
      <c r="AP101" s="204">
        <f>'FY 2016 by Agency'!AP102</f>
        <v>480</v>
      </c>
      <c r="AQ101" s="204">
        <f>'FY 2016 by Agency'!AQ102</f>
        <v>9</v>
      </c>
      <c r="AR101" s="204">
        <f>'FY 2016 by Agency'!AR102</f>
        <v>489</v>
      </c>
      <c r="AS101" s="204">
        <f>'FY 2016 by Agency'!AS102</f>
        <v>2259.24496</v>
      </c>
      <c r="AT101" s="204" t="e">
        <f t="shared" si="97"/>
        <v>#REF!</v>
      </c>
      <c r="AU101" s="304" t="e">
        <f t="shared" si="98"/>
        <v>#REF!</v>
      </c>
      <c r="AV101" s="204">
        <f t="shared" si="99"/>
        <v>-660.8556039097748</v>
      </c>
      <c r="AW101" s="304">
        <f t="shared" si="100"/>
        <v>-0.22631261816029494</v>
      </c>
      <c r="AX101" s="410" t="s">
        <v>416</v>
      </c>
      <c r="AY101" s="207">
        <v>2116.4739199999999</v>
      </c>
      <c r="AZ101" s="207">
        <f t="shared" si="101"/>
        <v>46.473919999999907</v>
      </c>
      <c r="BA101" s="207">
        <f t="shared" si="102"/>
        <v>-614.38168390977489</v>
      </c>
      <c r="BB101" s="207">
        <f t="shared" si="103"/>
        <v>2305.7188799999999</v>
      </c>
      <c r="BC101" s="304">
        <f t="shared" si="104"/>
        <v>-0.21039744024677298</v>
      </c>
      <c r="BD101" s="306">
        <v>29.408000000000001</v>
      </c>
      <c r="BE101" s="199">
        <f t="shared" si="111"/>
        <v>1.3894808588050072E-2</v>
      </c>
      <c r="BF101" s="66">
        <v>29</v>
      </c>
      <c r="BI101" s="200">
        <v>2058</v>
      </c>
      <c r="BJ101" s="207">
        <f t="shared" si="112"/>
        <v>-58.473919999999907</v>
      </c>
      <c r="BK101" s="206">
        <f t="shared" si="113"/>
        <v>2547</v>
      </c>
      <c r="BL101" s="307">
        <f>'FY 2016 by Agency'!BB102*Inflator!$E$13</f>
        <v>1946.3511110405859</v>
      </c>
      <c r="BM101" s="204">
        <f t="shared" si="114"/>
        <v>-973.74945286918887</v>
      </c>
      <c r="BN101" s="199">
        <f t="shared" si="115"/>
        <v>-0.33346435561295135</v>
      </c>
      <c r="BO101" s="204">
        <f>'FY 2016 by Agency'!AX102*Inflator!$E$13</f>
        <v>2262.7323771742449</v>
      </c>
      <c r="BP101" s="204">
        <f t="shared" si="84"/>
        <v>-657.36818673552989</v>
      </c>
      <c r="BQ101" s="199">
        <f t="shared" si="85"/>
        <v>-0.22511833834084394</v>
      </c>
      <c r="BR101" s="204">
        <f>'FY 2016 by Agency'!BE102*Inflator!$E$14</f>
        <v>2049.5014898688914</v>
      </c>
      <c r="BS101" s="204">
        <f t="shared" si="86"/>
        <v>-213.23088730535346</v>
      </c>
      <c r="BT101" s="199">
        <f t="shared" si="87"/>
        <v>-9.4236017240201142E-2</v>
      </c>
      <c r="BU101" s="204">
        <f>'FY 2016 by Agency'!BL102*Inflator!$E$14</f>
        <v>2577.712455303933</v>
      </c>
      <c r="BV101" s="204">
        <f t="shared" si="116"/>
        <v>631.36134426334706</v>
      </c>
      <c r="BW101" s="309">
        <v>2091</v>
      </c>
      <c r="BX101" s="206">
        <f>'FY 2016 by Agency'!BW102*Inflator!E15</f>
        <v>2885.7801231310464</v>
      </c>
      <c r="BY101" s="204">
        <f>'FY 2016 by Agency'!BZ102*Inflator!$E$15</f>
        <v>2151.65963060686</v>
      </c>
      <c r="BZ101" s="206">
        <f t="shared" si="82"/>
        <v>41.49851013110856</v>
      </c>
      <c r="CA101" s="199">
        <f t="shared" si="83"/>
        <v>2.0248099518953393E-2</v>
      </c>
      <c r="CB101" s="308">
        <f>'FY 2016 by Agency'!CF102*Inflator!$E$16</f>
        <v>2164.0889402252383</v>
      </c>
      <c r="CC101" s="206">
        <f t="shared" si="105"/>
        <v>12.429309618378284</v>
      </c>
      <c r="CD101" s="304">
        <f t="shared" si="106"/>
        <v>5.7766151493359973E-3</v>
      </c>
      <c r="CE101" s="206">
        <f>'FY 2016 by Agency'!CK102*Inflator!$E$17</f>
        <v>2287.9917823746105</v>
      </c>
      <c r="CF101" s="206">
        <f t="shared" si="117"/>
        <v>123.90284214937219</v>
      </c>
      <c r="CG101" s="562">
        <f t="shared" si="118"/>
        <v>5.725404342045036E-2</v>
      </c>
      <c r="CH101" s="753">
        <f>'FY 2016 by Agency'!CN102*Inflator!$E$18</f>
        <v>2292</v>
      </c>
      <c r="CI101" s="753">
        <f t="shared" si="119"/>
        <v>4.0082176253895341</v>
      </c>
      <c r="CJ101" s="304">
        <f t="shared" si="120"/>
        <v>1.7518496597175596E-3</v>
      </c>
    </row>
    <row r="102" spans="1:88" ht="18" customHeight="1" x14ac:dyDescent="0.25">
      <c r="A102" s="312" t="s">
        <v>215</v>
      </c>
      <c r="B102" s="302">
        <f>'FY 2016 by Agency'!B103*Inflator!$E$2</f>
        <v>143.6602870813397</v>
      </c>
      <c r="C102" s="302">
        <f>'FY 2016 by Agency'!C103*Inflator!$E$3</f>
        <v>545.74034003091197</v>
      </c>
      <c r="D102" s="302">
        <f t="shared" si="121"/>
        <v>402.08005294957229</v>
      </c>
      <c r="E102" s="303">
        <f>(C102-B102)/B102</f>
        <v>2.7988253477588882</v>
      </c>
      <c r="F102" s="204">
        <f>'FY 2016 by Agency'!F103*Inflator!$E$4</f>
        <v>570.55500570993536</v>
      </c>
      <c r="G102" s="204">
        <f t="shared" si="122"/>
        <v>24.814665679023392</v>
      </c>
      <c r="H102" s="199">
        <f t="shared" si="123"/>
        <v>4.5469729574357347E-2</v>
      </c>
      <c r="I102" s="204">
        <f>'FY 2016 by Agency'!I103*Inflator!$E$5</f>
        <v>647.1732986240238</v>
      </c>
      <c r="J102" s="204">
        <f t="shared" si="124"/>
        <v>76.618292914088443</v>
      </c>
      <c r="K102" s="199">
        <f t="shared" si="125"/>
        <v>0.13428730297222288</v>
      </c>
      <c r="L102" s="204">
        <f>'FY 2016 by Agency'!L103*Inflator!$E$6</f>
        <v>793.68157033805892</v>
      </c>
      <c r="M102" s="204">
        <f t="shared" si="126"/>
        <v>146.50827171403512</v>
      </c>
      <c r="N102" s="199">
        <f t="shared" si="127"/>
        <v>0.22638182388786918</v>
      </c>
      <c r="O102" s="204">
        <f>'FY 2016 by Agency'!O103*Inflator!$E$7</f>
        <v>681.03167898627237</v>
      </c>
      <c r="P102" s="204">
        <f t="shared" si="107"/>
        <v>-112.64989135178655</v>
      </c>
      <c r="Q102" s="304">
        <f t="shared" si="89"/>
        <v>-0.14193335912260721</v>
      </c>
      <c r="R102" s="204">
        <f>'FY 2016 by Agency'!R103*Inflator!$E$8</f>
        <v>796.18228105906314</v>
      </c>
      <c r="S102" s="204">
        <f t="shared" si="90"/>
        <v>115.15060207279078</v>
      </c>
      <c r="T102" s="304">
        <f t="shared" si="91"/>
        <v>0.16908259281593843</v>
      </c>
      <c r="U102" s="204">
        <f>'FY 2016 by Agency'!U103*Inflator!$E$9</f>
        <v>768.14622015915108</v>
      </c>
      <c r="V102" s="204">
        <f t="shared" si="108"/>
        <v>-28.036060899912059</v>
      </c>
      <c r="W102" s="304">
        <f t="shared" si="109"/>
        <v>-3.5213118361060662E-2</v>
      </c>
      <c r="X102" s="204">
        <f>'FY 2016 by Agency'!X103*Inflator!$E$10</f>
        <v>667.05271514766594</v>
      </c>
      <c r="Y102" s="206">
        <f t="shared" si="110"/>
        <v>-101.09350501148515</v>
      </c>
      <c r="Z102" s="304">
        <f t="shared" si="92"/>
        <v>-0.13160711119627685</v>
      </c>
      <c r="AA102" s="204">
        <f>'FY 2016 by Agency'!AA103*Inflator!$E$11</f>
        <v>894.15004778591924</v>
      </c>
      <c r="AB102" s="206">
        <f t="shared" si="93"/>
        <v>227.09733263825331</v>
      </c>
      <c r="AC102" s="304">
        <f t="shared" si="94"/>
        <v>0.34044885431278188</v>
      </c>
      <c r="AD102" s="204" t="e">
        <f>'FY 2016 by Agency'!AD103*Inflator!#REF!</f>
        <v>#REF!</v>
      </c>
      <c r="AE102" s="204">
        <f>'FY 2016 by Agency'!AE103*Inflator!$B$8</f>
        <v>0</v>
      </c>
      <c r="AF102" s="204">
        <f>'FY 2016 by Agency'!AF103*Inflator!$E$12</f>
        <v>896.23496240601514</v>
      </c>
      <c r="AG102" s="204">
        <f t="shared" si="95"/>
        <v>2.0849146200959012</v>
      </c>
      <c r="AH102" s="304">
        <f t="shared" si="96"/>
        <v>2.3317279077024432E-3</v>
      </c>
      <c r="AI102" s="204">
        <f>'FY 2016 by Agency'!AI103*Inflator!$B$8</f>
        <v>0</v>
      </c>
      <c r="AJ102" s="204">
        <f>'FY 2016 by Agency'!AJ103*Inflator!$B$8</f>
        <v>0</v>
      </c>
      <c r="AK102" s="204">
        <f>'FY 2016 by Agency'!AK103</f>
        <v>838</v>
      </c>
      <c r="AL102" s="204">
        <f>'FY 2016 by Agency'!AL103</f>
        <v>0</v>
      </c>
      <c r="AM102" s="204">
        <f>'FY 2016 by Agency'!AM103</f>
        <v>838</v>
      </c>
      <c r="AN102" s="204">
        <f>'FY 2016 by Agency'!AN103</f>
        <v>709</v>
      </c>
      <c r="AO102" s="204">
        <f>'FY 2016 by Agency'!AO103</f>
        <v>709</v>
      </c>
      <c r="AP102" s="204">
        <f>'FY 2016 by Agency'!AP103</f>
        <v>28</v>
      </c>
      <c r="AQ102" s="204">
        <f>'FY 2016 by Agency'!AQ103</f>
        <v>2</v>
      </c>
      <c r="AR102" s="204">
        <f>'FY 2016 by Agency'!AR103</f>
        <v>30</v>
      </c>
      <c r="AS102" s="204">
        <f>'FY 2016 by Agency'!AS103</f>
        <v>660.24746000000005</v>
      </c>
      <c r="AT102" s="204" t="e">
        <f t="shared" si="97"/>
        <v>#REF!</v>
      </c>
      <c r="AU102" s="304" t="e">
        <f t="shared" si="98"/>
        <v>#REF!</v>
      </c>
      <c r="AV102" s="204">
        <f t="shared" si="99"/>
        <v>-235.9875024060151</v>
      </c>
      <c r="AW102" s="304">
        <f t="shared" si="100"/>
        <v>-0.26330985991942069</v>
      </c>
      <c r="AX102" s="410" t="s">
        <v>417</v>
      </c>
      <c r="AY102" s="207">
        <v>798.46699999999998</v>
      </c>
      <c r="AZ102" s="207">
        <f t="shared" si="101"/>
        <v>89.466999999999985</v>
      </c>
      <c r="BA102" s="207">
        <f t="shared" si="102"/>
        <v>-146.52050240601511</v>
      </c>
      <c r="BB102" s="207">
        <f t="shared" si="103"/>
        <v>749.71446000000003</v>
      </c>
      <c r="BC102" s="304">
        <f t="shared" si="104"/>
        <v>-0.16348447511204989</v>
      </c>
      <c r="BD102" s="306">
        <v>18.934999999999999</v>
      </c>
      <c r="BE102" s="199">
        <f t="shared" si="111"/>
        <v>2.3714192321035183E-2</v>
      </c>
      <c r="BF102" s="66">
        <v>19</v>
      </c>
      <c r="BI102" s="200">
        <v>768</v>
      </c>
      <c r="BJ102" s="207">
        <f t="shared" si="112"/>
        <v>-30.466999999999985</v>
      </c>
      <c r="BK102" s="206">
        <f t="shared" si="113"/>
        <v>798</v>
      </c>
      <c r="BL102" s="307">
        <f>'FY 2016 by Agency'!BB103*Inflator!$E$13</f>
        <v>692.9452543118706</v>
      </c>
      <c r="BM102" s="204">
        <f t="shared" si="114"/>
        <v>-203.28970809414454</v>
      </c>
      <c r="BN102" s="199">
        <f t="shared" si="115"/>
        <v>-0.2268263531567625</v>
      </c>
      <c r="BO102" s="204">
        <f>'FY 2016 by Agency'!AX103*Inflator!$E$13</f>
        <v>844.40158681721084</v>
      </c>
      <c r="BP102" s="204">
        <f t="shared" si="84"/>
        <v>-51.833375588804302</v>
      </c>
      <c r="BQ102" s="199">
        <f t="shared" si="85"/>
        <v>-5.7834583299064143E-2</v>
      </c>
      <c r="BR102" s="204">
        <f>'FY 2016 by Agency'!BE103*Inflator!$E$14</f>
        <v>953.35637663885575</v>
      </c>
      <c r="BS102" s="204">
        <f t="shared" si="86"/>
        <v>108.95478982164491</v>
      </c>
      <c r="BT102" s="199">
        <f t="shared" si="87"/>
        <v>0.12903195768772346</v>
      </c>
      <c r="BU102" s="204">
        <f>'FY 2016 by Agency'!BL103*Inflator!$E$14</f>
        <v>976.97556615017868</v>
      </c>
      <c r="BV102" s="204">
        <f t="shared" si="116"/>
        <v>284.03031183830808</v>
      </c>
      <c r="BW102" s="309">
        <v>907</v>
      </c>
      <c r="BX102" s="206">
        <f>'FY 2016 by Agency'!BW103*Inflator!E15</f>
        <v>1003.4740545294634</v>
      </c>
      <c r="BY102" s="204">
        <f>'FY 2016 by Agency'!BZ103*Inflator!$E$15</f>
        <v>1191.4934036939312</v>
      </c>
      <c r="BZ102" s="206">
        <f t="shared" si="82"/>
        <v>-46.35637663885575</v>
      </c>
      <c r="CA102" s="199">
        <f t="shared" si="83"/>
        <v>-4.8624394586093141E-2</v>
      </c>
      <c r="CB102" s="308">
        <f>'FY 2016 by Agency'!CF103*Inflator!$E$16</f>
        <v>1318.2214842622002</v>
      </c>
      <c r="CC102" s="206">
        <f t="shared" si="105"/>
        <v>126.72808056826898</v>
      </c>
      <c r="CD102" s="304">
        <f t="shared" si="106"/>
        <v>0.10636070680322682</v>
      </c>
      <c r="CE102" s="206">
        <f>'FY 2016 by Agency'!CK103*Inflator!$E$17</f>
        <v>1430.3777274015304</v>
      </c>
      <c r="CF102" s="206">
        <f t="shared" si="117"/>
        <v>112.15624313933017</v>
      </c>
      <c r="CG102" s="562">
        <f t="shared" si="118"/>
        <v>8.5081486289159722E-2</v>
      </c>
      <c r="CH102" s="753">
        <f>'FY 2016 by Agency'!CN103*Inflator!$E$18</f>
        <v>1526</v>
      </c>
      <c r="CI102" s="753">
        <f t="shared" si="119"/>
        <v>95.622272598469635</v>
      </c>
      <c r="CJ102" s="304">
        <f t="shared" si="120"/>
        <v>6.6851063720196544E-2</v>
      </c>
    </row>
    <row r="103" spans="1:88" ht="18" customHeight="1" x14ac:dyDescent="0.25">
      <c r="A103" s="312" t="s">
        <v>216</v>
      </c>
      <c r="B103" s="302">
        <f>'FY 2016 by Agency'!B104*Inflator!$E$2</f>
        <v>0</v>
      </c>
      <c r="C103" s="302">
        <f>'FY 2016 by Agency'!C104*Inflator!$E$3</f>
        <v>6140.9710200927357</v>
      </c>
      <c r="D103" s="302">
        <f t="shared" si="121"/>
        <v>6140.9710200927357</v>
      </c>
      <c r="E103" s="310" t="s">
        <v>132</v>
      </c>
      <c r="F103" s="204">
        <f>'FY 2016 by Agency'!F104*Inflator!$E$4</f>
        <v>6642.302626570232</v>
      </c>
      <c r="G103" s="204">
        <f t="shared" si="122"/>
        <v>501.33160647749628</v>
      </c>
      <c r="H103" s="199">
        <f t="shared" si="123"/>
        <v>8.1637188131515659E-2</v>
      </c>
      <c r="I103" s="204">
        <f>'FY 2016 by Agency'!I104*Inflator!$E$5</f>
        <v>6842.8862030494611</v>
      </c>
      <c r="J103" s="204">
        <f t="shared" si="124"/>
        <v>200.58357647922912</v>
      </c>
      <c r="K103" s="199">
        <f t="shared" si="125"/>
        <v>3.019789789114154E-2</v>
      </c>
      <c r="L103" s="204">
        <f>'FY 2016 by Agency'!L104*Inflator!$E$6</f>
        <v>7715.4754634678302</v>
      </c>
      <c r="M103" s="204">
        <f t="shared" si="126"/>
        <v>872.58926041836912</v>
      </c>
      <c r="N103" s="199">
        <f t="shared" si="127"/>
        <v>0.1275177219854261</v>
      </c>
      <c r="O103" s="204">
        <f>'FY 2016 by Agency'!O104*Inflator!$E$7</f>
        <v>8068.3864836325229</v>
      </c>
      <c r="P103" s="204">
        <f t="shared" si="107"/>
        <v>352.91102016469267</v>
      </c>
      <c r="Q103" s="304">
        <f t="shared" si="89"/>
        <v>4.574067040141578E-2</v>
      </c>
      <c r="R103" s="204">
        <f>'FY 2016 by Agency'!R104*Inflator!$E$8</f>
        <v>10454.325865580449</v>
      </c>
      <c r="S103" s="204">
        <f t="shared" si="90"/>
        <v>2385.9393819479264</v>
      </c>
      <c r="T103" s="304">
        <f t="shared" si="91"/>
        <v>0.29571456285442299</v>
      </c>
      <c r="U103" s="204">
        <f>'FY 2016 by Agency'!U104*Inflator!$E$9</f>
        <v>9962.0082891246675</v>
      </c>
      <c r="V103" s="204">
        <f t="shared" si="108"/>
        <v>-492.31757645578182</v>
      </c>
      <c r="W103" s="304">
        <f t="shared" si="109"/>
        <v>-4.7092235576535392E-2</v>
      </c>
      <c r="X103" s="204">
        <f>'FY 2016 by Agency'!X104*Inflator!$E$10</f>
        <v>10487.487456335346</v>
      </c>
      <c r="Y103" s="206">
        <f t="shared" si="110"/>
        <v>525.4791672106785</v>
      </c>
      <c r="Z103" s="304">
        <f t="shared" si="92"/>
        <v>5.2748316600412189E-2</v>
      </c>
      <c r="AA103" s="204">
        <f>'FY 2016 by Agency'!AA104*Inflator!$E$11</f>
        <v>11501.134119146227</v>
      </c>
      <c r="AB103" s="206">
        <f t="shared" si="93"/>
        <v>1013.646662810881</v>
      </c>
      <c r="AC103" s="304">
        <f t="shared" si="94"/>
        <v>9.665295591829777E-2</v>
      </c>
      <c r="AD103" s="204" t="e">
        <f>'FY 2016 by Agency'!AD104*Inflator!#REF!</f>
        <v>#REF!</v>
      </c>
      <c r="AE103" s="204">
        <f>'FY 2016 by Agency'!AE104*Inflator!$B$8</f>
        <v>0</v>
      </c>
      <c r="AF103" s="204">
        <f>'FY 2016 by Agency'!AF104*Inflator!$E$12</f>
        <v>9113.6033834586469</v>
      </c>
      <c r="AG103" s="204">
        <f t="shared" si="95"/>
        <v>-2387.5307356875801</v>
      </c>
      <c r="AH103" s="304">
        <f t="shared" si="96"/>
        <v>-0.20759089590243085</v>
      </c>
      <c r="AI103" s="204">
        <f>'FY 2016 by Agency'!AI104*Inflator!$B$8</f>
        <v>0</v>
      </c>
      <c r="AJ103" s="204">
        <f>'FY 2016 by Agency'!AJ104*Inflator!$B$8</f>
        <v>0</v>
      </c>
      <c r="AK103" s="204">
        <f>'FY 2016 by Agency'!AK104</f>
        <v>8630</v>
      </c>
      <c r="AL103" s="204">
        <f>'FY 2016 by Agency'!AL104</f>
        <v>0</v>
      </c>
      <c r="AM103" s="204">
        <f>'FY 2016 by Agency'!AM104</f>
        <v>8630</v>
      </c>
      <c r="AN103" s="204">
        <f>'FY 2016 by Agency'!AN104</f>
        <v>7396</v>
      </c>
      <c r="AO103" s="204">
        <f>'FY 2016 by Agency'!AO104</f>
        <v>7664</v>
      </c>
      <c r="AP103" s="204">
        <f>'FY 2016 by Agency'!AP104</f>
        <v>742</v>
      </c>
      <c r="AQ103" s="204">
        <f>'FY 2016 by Agency'!AQ104</f>
        <v>47</v>
      </c>
      <c r="AR103" s="204">
        <f>'FY 2016 by Agency'!AR104</f>
        <v>789</v>
      </c>
      <c r="AS103" s="204">
        <f>'FY 2016 by Agency'!AS104</f>
        <v>7942.7015199999996</v>
      </c>
      <c r="AT103" s="204" t="e">
        <f t="shared" si="97"/>
        <v>#REF!</v>
      </c>
      <c r="AU103" s="304" t="e">
        <f t="shared" si="98"/>
        <v>#REF!</v>
      </c>
      <c r="AV103" s="204">
        <f t="shared" si="99"/>
        <v>-1170.9018634586473</v>
      </c>
      <c r="AW103" s="304">
        <f t="shared" si="100"/>
        <v>-0.12847847488994915</v>
      </c>
      <c r="AX103" s="410" t="s">
        <v>418</v>
      </c>
      <c r="AY103" s="207">
        <v>7668.2113799999997</v>
      </c>
      <c r="AZ103" s="207">
        <f t="shared" si="101"/>
        <v>4.2113799999997354</v>
      </c>
      <c r="BA103" s="207">
        <f t="shared" si="102"/>
        <v>-1166.6904834586476</v>
      </c>
      <c r="BB103" s="207">
        <f t="shared" si="103"/>
        <v>7946.9128999999994</v>
      </c>
      <c r="BC103" s="304">
        <f t="shared" si="104"/>
        <v>-0.12801637665911725</v>
      </c>
      <c r="BD103" s="306">
        <v>65.537999999999997</v>
      </c>
      <c r="BE103" s="199">
        <f t="shared" si="111"/>
        <v>8.5467127537634472E-3</v>
      </c>
      <c r="BF103" s="66">
        <v>243</v>
      </c>
      <c r="BI103" s="200">
        <v>7378</v>
      </c>
      <c r="BJ103" s="207">
        <f t="shared" si="112"/>
        <v>-290.21137999999974</v>
      </c>
      <c r="BK103" s="206">
        <f t="shared" si="113"/>
        <v>8167</v>
      </c>
      <c r="BL103" s="307">
        <f>'FY 2016 by Agency'!BB104*Inflator!$E$13</f>
        <v>7865.3605665425684</v>
      </c>
      <c r="BM103" s="204">
        <f t="shared" si="114"/>
        <v>-1248.2428169160785</v>
      </c>
      <c r="BN103" s="199">
        <f t="shared" si="115"/>
        <v>-0.13696479475743498</v>
      </c>
      <c r="BO103" s="204">
        <f>'FY 2016 by Agency'!AX104*Inflator!$E$13</f>
        <v>8111.9725358559654</v>
      </c>
      <c r="BP103" s="204">
        <f t="shared" si="84"/>
        <v>-1001.6308476026816</v>
      </c>
      <c r="BQ103" s="199">
        <f t="shared" si="85"/>
        <v>-0.10990502937846292</v>
      </c>
      <c r="BR103" s="204">
        <f>'FY 2016 by Agency'!BE104*Inflator!$E$14</f>
        <v>7888.8092967818829</v>
      </c>
      <c r="BS103" s="204">
        <f t="shared" si="86"/>
        <v>-223.16323907408241</v>
      </c>
      <c r="BT103" s="199">
        <f t="shared" si="87"/>
        <v>-2.7510354366668786E-2</v>
      </c>
      <c r="BU103" s="204">
        <f>'FY 2016 by Agency'!BL104*Inflator!$E$14</f>
        <v>10335.542610250297</v>
      </c>
      <c r="BV103" s="204">
        <f t="shared" si="116"/>
        <v>2470.1820437077286</v>
      </c>
      <c r="BW103" s="309">
        <v>7884</v>
      </c>
      <c r="BX103" s="206">
        <f>'FY 2016 by Agency'!BW104*Inflator!E15</f>
        <v>11582.203166226913</v>
      </c>
      <c r="BY103" s="204">
        <f>'FY 2016 by Agency'!BZ104*Inflator!$E$15</f>
        <v>7967.5839929639396</v>
      </c>
      <c r="BZ103" s="206">
        <f t="shared" si="82"/>
        <v>-4.8092967818829493</v>
      </c>
      <c r="CA103" s="199">
        <f t="shared" si="83"/>
        <v>-6.0963532023075107E-4</v>
      </c>
      <c r="CB103" s="308">
        <f>'FY 2016 by Agency'!CF104*Inflator!$E$16</f>
        <v>8731.2665319087482</v>
      </c>
      <c r="CC103" s="206">
        <f t="shared" si="105"/>
        <v>763.68253894480858</v>
      </c>
      <c r="CD103" s="304">
        <f t="shared" si="106"/>
        <v>9.5848696370092343E-2</v>
      </c>
      <c r="CE103" s="206">
        <f>'FY 2016 by Agency'!CK104*Inflator!$E$17</f>
        <v>9718.6049872485128</v>
      </c>
      <c r="CF103" s="206">
        <f t="shared" si="117"/>
        <v>987.33845533976455</v>
      </c>
      <c r="CG103" s="562">
        <f t="shared" si="118"/>
        <v>0.11308078292324468</v>
      </c>
      <c r="CH103" s="753">
        <f>'FY 2016 by Agency'!CN104*Inflator!$E$18</f>
        <v>10501</v>
      </c>
      <c r="CI103" s="753">
        <f t="shared" si="119"/>
        <v>782.39501275148723</v>
      </c>
      <c r="CJ103" s="304">
        <f t="shared" si="120"/>
        <v>8.0504868114101152E-2</v>
      </c>
    </row>
    <row r="104" spans="1:88" ht="18" customHeight="1" x14ac:dyDescent="0.25">
      <c r="A104" s="312" t="s">
        <v>217</v>
      </c>
      <c r="B104" s="302">
        <f>'FY 2016 by Agency'!B105*Inflator!$E$2</f>
        <v>0</v>
      </c>
      <c r="C104" s="302">
        <f>'FY 2016 by Agency'!C105*Inflator!$E$3</f>
        <v>0</v>
      </c>
      <c r="D104" s="302">
        <f t="shared" si="121"/>
        <v>0</v>
      </c>
      <c r="E104" s="310" t="s">
        <v>132</v>
      </c>
      <c r="F104" s="204">
        <f>'FY 2016 by Agency'!F105*Inflator!$E$4</f>
        <v>0</v>
      </c>
      <c r="G104" s="204">
        <f t="shared" si="122"/>
        <v>0</v>
      </c>
      <c r="H104" s="310" t="s">
        <v>132</v>
      </c>
      <c r="I104" s="204">
        <f>'FY 2016 by Agency'!I105*Inflator!$E$5</f>
        <v>124.61100780959465</v>
      </c>
      <c r="J104" s="204">
        <f t="shared" si="124"/>
        <v>124.61100780959465</v>
      </c>
      <c r="K104" s="310" t="s">
        <v>132</v>
      </c>
      <c r="L104" s="204">
        <f>'FY 2016 by Agency'!L105*Inflator!$E$6</f>
        <v>4289.2857142857147</v>
      </c>
      <c r="M104" s="204">
        <f t="shared" si="126"/>
        <v>4164.6747064761203</v>
      </c>
      <c r="N104" s="199">
        <f t="shared" si="127"/>
        <v>33.421402969790073</v>
      </c>
      <c r="O104" s="204">
        <f>'FY 2016 by Agency'!O105*Inflator!$E$7</f>
        <v>4592.2080253431886</v>
      </c>
      <c r="P104" s="204">
        <f t="shared" si="107"/>
        <v>302.92231105747396</v>
      </c>
      <c r="Q104" s="304">
        <f t="shared" si="89"/>
        <v>7.0623020063357786E-2</v>
      </c>
      <c r="R104" s="204">
        <f>'FY 2016 by Agency'!R105*Inflator!$E$8</f>
        <v>6824.4195519348268</v>
      </c>
      <c r="S104" s="204">
        <f t="shared" si="90"/>
        <v>2232.2115265916382</v>
      </c>
      <c r="T104" s="304">
        <f t="shared" si="91"/>
        <v>0.48608676137331969</v>
      </c>
      <c r="U104" s="204">
        <f>'FY 2016 by Agency'!U105*Inflator!$E$9</f>
        <v>6011.3713527851451</v>
      </c>
      <c r="V104" s="204">
        <f t="shared" si="108"/>
        <v>-813.04819914968175</v>
      </c>
      <c r="W104" s="304">
        <f t="shared" si="109"/>
        <v>-0.11913807364307932</v>
      </c>
      <c r="X104" s="204">
        <f>'FY 2016 by Agency'!X105*Inflator!$E$10</f>
        <v>8096.1664020323915</v>
      </c>
      <c r="Y104" s="206">
        <f t="shared" si="110"/>
        <v>2084.7950492472464</v>
      </c>
      <c r="Z104" s="304">
        <f t="shared" si="92"/>
        <v>0.34680856112496433</v>
      </c>
      <c r="AA104" s="204">
        <f>'FY 2016 by Agency'!AA105*Inflator!$E$11</f>
        <v>8896.735584581078</v>
      </c>
      <c r="AB104" s="206">
        <f t="shared" si="93"/>
        <v>800.56918254868651</v>
      </c>
      <c r="AC104" s="304">
        <f t="shared" si="94"/>
        <v>9.8882501025141789E-2</v>
      </c>
      <c r="AD104" s="204" t="e">
        <f>'FY 2016 by Agency'!AD105*Inflator!#REF!</f>
        <v>#REF!</v>
      </c>
      <c r="AE104" s="204">
        <f>'FY 2016 by Agency'!AE105*Inflator!$B$8</f>
        <v>0</v>
      </c>
      <c r="AF104" s="204">
        <f>'FY 2016 by Agency'!AF105*Inflator!$E$12</f>
        <v>7904.7020676691736</v>
      </c>
      <c r="AG104" s="204">
        <f t="shared" si="95"/>
        <v>-992.03351691190437</v>
      </c>
      <c r="AH104" s="304">
        <f t="shared" si="96"/>
        <v>-0.11150533895052434</v>
      </c>
      <c r="AI104" s="204">
        <f>'FY 2016 by Agency'!AI105*Inflator!$B$8</f>
        <v>0</v>
      </c>
      <c r="AJ104" s="204">
        <f>'FY 2016 by Agency'!AJ105*Inflator!$B$8</f>
        <v>0</v>
      </c>
      <c r="AK104" s="204">
        <f>'FY 2016 by Agency'!AK105</f>
        <v>6719</v>
      </c>
      <c r="AL104" s="204">
        <f>'FY 2016 by Agency'!AL105</f>
        <v>0</v>
      </c>
      <c r="AM104" s="204">
        <f>'FY 2016 by Agency'!AM105</f>
        <v>6719</v>
      </c>
      <c r="AN104" s="204">
        <f>'FY 2016 by Agency'!AN105</f>
        <v>7451</v>
      </c>
      <c r="AO104" s="204">
        <f>'FY 2016 by Agency'!AO105</f>
        <v>7460</v>
      </c>
      <c r="AP104" s="204">
        <f>'FY 2016 by Agency'!AP105</f>
        <v>76</v>
      </c>
      <c r="AQ104" s="204">
        <f>'FY 2016 by Agency'!AQ105</f>
        <v>15</v>
      </c>
      <c r="AR104" s="204">
        <f>'FY 2016 by Agency'!AR105</f>
        <v>91</v>
      </c>
      <c r="AS104" s="204">
        <f>'FY 2016 by Agency'!AS105</f>
        <v>6801.4298999999992</v>
      </c>
      <c r="AT104" s="204" t="e">
        <f t="shared" si="97"/>
        <v>#REF!</v>
      </c>
      <c r="AU104" s="304" t="e">
        <f t="shared" si="98"/>
        <v>#REF!</v>
      </c>
      <c r="AV104" s="204">
        <f t="shared" si="99"/>
        <v>-1103.2721676691745</v>
      </c>
      <c r="AW104" s="304">
        <f t="shared" si="100"/>
        <v>-0.13957163195076519</v>
      </c>
      <c r="AX104" s="410" t="s">
        <v>419</v>
      </c>
      <c r="AY104" s="207">
        <v>7101.1640699999998</v>
      </c>
      <c r="AZ104" s="207">
        <f t="shared" si="101"/>
        <v>-358.83593000000019</v>
      </c>
      <c r="BA104" s="207">
        <f t="shared" si="102"/>
        <v>-1462.1080976691746</v>
      </c>
      <c r="BB104" s="207">
        <f t="shared" si="103"/>
        <v>6442.593969999999</v>
      </c>
      <c r="BC104" s="304">
        <f t="shared" si="104"/>
        <v>-0.18496688238881343</v>
      </c>
      <c r="BD104" s="306">
        <v>64.623000000000005</v>
      </c>
      <c r="BE104" s="199">
        <f t="shared" si="111"/>
        <v>9.1003389533006532E-3</v>
      </c>
      <c r="BF104" s="66">
        <v>133</v>
      </c>
      <c r="BI104" s="200">
        <v>6928</v>
      </c>
      <c r="BJ104" s="207">
        <f t="shared" si="112"/>
        <v>-173.16406999999981</v>
      </c>
      <c r="BK104" s="206">
        <f t="shared" si="113"/>
        <v>7019</v>
      </c>
      <c r="BL104" s="307">
        <f>'FY 2016 by Agency'!BB105*Inflator!$E$13</f>
        <v>7377.9917393042406</v>
      </c>
      <c r="BM104" s="204">
        <f t="shared" si="114"/>
        <v>-526.71032836493305</v>
      </c>
      <c r="BN104" s="199">
        <f t="shared" si="115"/>
        <v>-6.6632533883752301E-2</v>
      </c>
      <c r="BO104" s="204">
        <f>'FY 2016 by Agency'!AX105*Inflator!$E$13</f>
        <v>7617.2059810802557</v>
      </c>
      <c r="BP104" s="204">
        <f t="shared" si="84"/>
        <v>-287.49608658891793</v>
      </c>
      <c r="BQ104" s="199">
        <f t="shared" si="85"/>
        <v>-3.6370262171524281E-2</v>
      </c>
      <c r="BR104" s="204">
        <f>'FY 2016 by Agency'!BE105*Inflator!$E$14</f>
        <v>7674.0893921334919</v>
      </c>
      <c r="BS104" s="204">
        <f t="shared" si="86"/>
        <v>56.883411053236159</v>
      </c>
      <c r="BT104" s="199">
        <f t="shared" si="87"/>
        <v>7.4677527684723416E-3</v>
      </c>
      <c r="BU104" s="204">
        <f>'FY 2016 by Agency'!BL105*Inflator!$E$14</f>
        <v>8164.7243742550645</v>
      </c>
      <c r="BV104" s="204">
        <f t="shared" si="116"/>
        <v>786.73263495082392</v>
      </c>
      <c r="BW104" s="309">
        <v>8852</v>
      </c>
      <c r="BX104" s="206">
        <f>'FY 2016 by Agency'!BW105*Inflator!E15</f>
        <v>9909.0422163588373</v>
      </c>
      <c r="BY104" s="204">
        <f>'FY 2016 by Agency'!BZ105*Inflator!$E$15</f>
        <v>7951.7396657871586</v>
      </c>
      <c r="BZ104" s="206">
        <f t="shared" si="82"/>
        <v>1177.9106078665081</v>
      </c>
      <c r="CA104" s="199">
        <f t="shared" si="83"/>
        <v>0.15349190603304066</v>
      </c>
      <c r="CB104" s="308">
        <f>'FY 2016 by Agency'!CF105*Inflator!$E$16</f>
        <v>7473.3898354028297</v>
      </c>
      <c r="CC104" s="206">
        <f t="shared" si="105"/>
        <v>-478.34983038432892</v>
      </c>
      <c r="CD104" s="304">
        <f t="shared" si="106"/>
        <v>-6.0156626158481774E-2</v>
      </c>
      <c r="CE104" s="206">
        <f>'FY 2016 by Agency'!CK105*Inflator!$E$17</f>
        <v>8885.4941909889494</v>
      </c>
      <c r="CF104" s="206">
        <f t="shared" si="117"/>
        <v>1412.1043555861197</v>
      </c>
      <c r="CG104" s="562">
        <f t="shared" si="118"/>
        <v>0.1889509829791991</v>
      </c>
      <c r="CH104" s="753">
        <f>'FY 2016 by Agency'!CN105*Inflator!$E$18</f>
        <v>8644</v>
      </c>
      <c r="CI104" s="753">
        <f t="shared" si="119"/>
        <v>-241.49419098894941</v>
      </c>
      <c r="CJ104" s="304">
        <f t="shared" si="120"/>
        <v>-2.7178476041755339E-2</v>
      </c>
    </row>
    <row r="105" spans="1:88" ht="18" customHeight="1" x14ac:dyDescent="0.25">
      <c r="A105" s="312" t="s">
        <v>420</v>
      </c>
      <c r="B105" s="302">
        <f>'FY 2016 by Agency'!B106*Inflator!$E$2</f>
        <v>0</v>
      </c>
      <c r="C105" s="302">
        <f>'FY 2016 by Agency'!C106*Inflator!$E$3</f>
        <v>0</v>
      </c>
      <c r="D105" s="302">
        <f t="shared" si="121"/>
        <v>0</v>
      </c>
      <c r="E105" s="310" t="s">
        <v>132</v>
      </c>
      <c r="F105" s="204">
        <f>'FY 2016 by Agency'!F106*Inflator!$E$4</f>
        <v>0</v>
      </c>
      <c r="G105" s="204">
        <f t="shared" si="122"/>
        <v>0</v>
      </c>
      <c r="H105" s="310" t="s">
        <v>132</v>
      </c>
      <c r="I105" s="204">
        <f>'FY 2016 by Agency'!I106*Inflator!$E$5</f>
        <v>0</v>
      </c>
      <c r="J105" s="204">
        <f t="shared" si="124"/>
        <v>0</v>
      </c>
      <c r="K105" s="310" t="s">
        <v>132</v>
      </c>
      <c r="L105" s="204">
        <f>'FY 2016 by Agency'!L106*Inflator!$E$6</f>
        <v>0</v>
      </c>
      <c r="M105" s="204">
        <f t="shared" si="126"/>
        <v>0</v>
      </c>
      <c r="N105" s="199" t="e">
        <f t="shared" si="127"/>
        <v>#DIV/0!</v>
      </c>
      <c r="O105" s="204">
        <f>'FY 2016 by Agency'!O106*Inflator!$E$7</f>
        <v>0</v>
      </c>
      <c r="P105" s="204">
        <f t="shared" si="107"/>
        <v>0</v>
      </c>
      <c r="Q105" s="304" t="e">
        <f t="shared" si="89"/>
        <v>#DIV/0!</v>
      </c>
      <c r="R105" s="204">
        <f>'FY 2016 by Agency'!R106*Inflator!$E$8</f>
        <v>0</v>
      </c>
      <c r="S105" s="204">
        <f>R105-O105</f>
        <v>0</v>
      </c>
      <c r="T105" s="304" t="e">
        <f>S105/O105</f>
        <v>#DIV/0!</v>
      </c>
      <c r="U105" s="204">
        <f>'FY 2016 by Agency'!U106*Inflator!$E$9</f>
        <v>0</v>
      </c>
      <c r="V105" s="204">
        <f t="shared" si="108"/>
        <v>0</v>
      </c>
      <c r="W105" s="394" t="s">
        <v>132</v>
      </c>
      <c r="X105" s="204">
        <f>'FY 2016 by Agency'!X106*Inflator!$E$10</f>
        <v>0</v>
      </c>
      <c r="Y105" s="206">
        <f t="shared" si="110"/>
        <v>0</v>
      </c>
      <c r="Z105" s="311" t="s">
        <v>405</v>
      </c>
      <c r="AA105" s="204">
        <f>'FY 2016 by Agency'!AA106*Inflator!$E$11</f>
        <v>0</v>
      </c>
      <c r="AB105" s="206">
        <f t="shared" si="93"/>
        <v>0</v>
      </c>
      <c r="AC105" s="304" t="e">
        <f t="shared" si="94"/>
        <v>#DIV/0!</v>
      </c>
      <c r="AD105" s="204" t="e">
        <f>'FY 2016 by Agency'!AD106*Inflator!#REF!</f>
        <v>#REF!</v>
      </c>
      <c r="AE105" s="204">
        <f>'FY 2016 by Agency'!AE106*Inflator!$B$8</f>
        <v>0</v>
      </c>
      <c r="AF105" s="204">
        <f>'FY 2016 by Agency'!AF106*Inflator!$E$12</f>
        <v>0</v>
      </c>
      <c r="AG105" s="204">
        <f t="shared" si="95"/>
        <v>0</v>
      </c>
      <c r="AH105" s="304" t="e">
        <f t="shared" si="96"/>
        <v>#DIV/0!</v>
      </c>
      <c r="AI105" s="204">
        <f>'FY 2016 by Agency'!AI106*Inflator!$B$8</f>
        <v>0</v>
      </c>
      <c r="AJ105" s="204">
        <f>'FY 2016 by Agency'!AJ106*Inflator!$B$8</f>
        <v>0</v>
      </c>
      <c r="AK105" s="204">
        <f>'FY 2016 by Agency'!AK106</f>
        <v>0</v>
      </c>
      <c r="AL105" s="204">
        <f>'FY 2016 by Agency'!AL106</f>
        <v>25</v>
      </c>
      <c r="AM105" s="204">
        <f>'FY 2016 by Agency'!AM106</f>
        <v>25</v>
      </c>
      <c r="AN105" s="204">
        <f>'FY 2016 by Agency'!AN106</f>
        <v>0</v>
      </c>
      <c r="AO105" s="204">
        <f>'FY 2016 by Agency'!AO106</f>
        <v>0</v>
      </c>
      <c r="AP105" s="204">
        <f>'FY 2016 by Agency'!AP106</f>
        <v>0</v>
      </c>
      <c r="AQ105" s="204">
        <f>'FY 2016 by Agency'!AQ106</f>
        <v>0</v>
      </c>
      <c r="AR105" s="204">
        <f>'FY 2016 by Agency'!AR106</f>
        <v>0</v>
      </c>
      <c r="AS105" s="204">
        <f>'FY 2016 by Agency'!AS106</f>
        <v>0</v>
      </c>
      <c r="AT105" s="204" t="e">
        <f t="shared" si="97"/>
        <v>#REF!</v>
      </c>
      <c r="AU105" s="304" t="e">
        <f t="shared" si="98"/>
        <v>#REF!</v>
      </c>
      <c r="AV105" s="204">
        <f t="shared" si="99"/>
        <v>0</v>
      </c>
      <c r="AW105" s="304" t="e">
        <f t="shared" si="100"/>
        <v>#DIV/0!</v>
      </c>
      <c r="AX105" s="410" t="s">
        <v>421</v>
      </c>
      <c r="AY105" s="207">
        <v>130</v>
      </c>
      <c r="AZ105" s="207">
        <f t="shared" si="101"/>
        <v>130</v>
      </c>
      <c r="BA105" s="207">
        <f t="shared" si="102"/>
        <v>130</v>
      </c>
      <c r="BB105" s="207">
        <f t="shared" si="103"/>
        <v>130</v>
      </c>
      <c r="BC105" s="304" t="e">
        <f t="shared" si="104"/>
        <v>#DIV/0!</v>
      </c>
      <c r="BD105" s="306">
        <v>9</v>
      </c>
      <c r="BE105" s="199">
        <f t="shared" si="111"/>
        <v>6.9230769230769235E-2</v>
      </c>
      <c r="BI105" s="200">
        <v>130</v>
      </c>
      <c r="BJ105" s="207">
        <f t="shared" si="112"/>
        <v>0</v>
      </c>
      <c r="BK105" s="206">
        <f t="shared" si="113"/>
        <v>130</v>
      </c>
      <c r="BL105" s="307">
        <f>'FY 2016 by Agency'!BB106*Inflator!$E$13</f>
        <v>0</v>
      </c>
      <c r="BM105" s="204">
        <f t="shared" si="114"/>
        <v>0</v>
      </c>
      <c r="BN105" s="199" t="e">
        <f t="shared" si="115"/>
        <v>#DIV/0!</v>
      </c>
      <c r="BO105" s="204">
        <f>'FY 2016 by Agency'!AX106*Inflator!$E$13</f>
        <v>0</v>
      </c>
      <c r="BP105" s="204">
        <f t="shared" si="84"/>
        <v>0</v>
      </c>
      <c r="BQ105" s="199" t="e">
        <f t="shared" si="85"/>
        <v>#DIV/0!</v>
      </c>
      <c r="BR105" s="204">
        <f>'FY 2016 by Agency'!BE106*Inflator!$E$14</f>
        <v>0</v>
      </c>
      <c r="BS105" s="204">
        <f t="shared" si="86"/>
        <v>0</v>
      </c>
      <c r="BT105" s="199" t="e">
        <f t="shared" si="87"/>
        <v>#DIV/0!</v>
      </c>
      <c r="BU105" s="204">
        <f>'FY 2016 by Agency'!BL106*Inflator!$E$14</f>
        <v>0</v>
      </c>
      <c r="BV105" s="204">
        <f t="shared" si="116"/>
        <v>0</v>
      </c>
      <c r="BW105" s="206">
        <v>0</v>
      </c>
      <c r="BX105" s="206">
        <f>'FY 2016 by Agency'!BW106*Inflator!E15</f>
        <v>0</v>
      </c>
      <c r="BY105" s="204">
        <f>'FY 2016 by Agency'!BZ106*Inflator!$E$15</f>
        <v>0</v>
      </c>
      <c r="BZ105" s="206">
        <f t="shared" si="82"/>
        <v>0</v>
      </c>
      <c r="CA105" s="199" t="e">
        <f t="shared" si="83"/>
        <v>#DIV/0!</v>
      </c>
      <c r="CB105" s="308">
        <f>'FY 2016 by Agency'!CF106*Inflator!$E$16</f>
        <v>0</v>
      </c>
      <c r="CC105" s="206">
        <f t="shared" si="105"/>
        <v>0</v>
      </c>
      <c r="CD105" s="304" t="e">
        <f t="shared" si="106"/>
        <v>#DIV/0!</v>
      </c>
      <c r="CE105" s="206">
        <f>'FY 2016 by Agency'!CK106*Inflator!$E$17</f>
        <v>0</v>
      </c>
      <c r="CF105" s="206">
        <f t="shared" si="117"/>
        <v>0</v>
      </c>
      <c r="CG105" s="562" t="e">
        <f t="shared" si="118"/>
        <v>#DIV/0!</v>
      </c>
      <c r="CH105" s="753">
        <f>'FY 2016 by Agency'!CN106*Inflator!$E$18</f>
        <v>231</v>
      </c>
      <c r="CI105" s="753">
        <f t="shared" si="119"/>
        <v>231</v>
      </c>
      <c r="CJ105" s="304" t="e">
        <f t="shared" si="120"/>
        <v>#DIV/0!</v>
      </c>
    </row>
    <row r="106" spans="1:88" ht="18" customHeight="1" x14ac:dyDescent="0.25">
      <c r="A106" s="312" t="s">
        <v>219</v>
      </c>
      <c r="B106" s="302">
        <f>'FY 2016 by Agency'!B107*Inflator!$E$2</f>
        <v>0</v>
      </c>
      <c r="C106" s="302">
        <f>'FY 2016 by Agency'!C107*Inflator!$E$3</f>
        <v>0</v>
      </c>
      <c r="D106" s="302">
        <f t="shared" si="121"/>
        <v>0</v>
      </c>
      <c r="E106" s="310" t="s">
        <v>132</v>
      </c>
      <c r="F106" s="204">
        <f>'FY 2016 by Agency'!F107*Inflator!$E$4</f>
        <v>0</v>
      </c>
      <c r="G106" s="204">
        <f t="shared" si="122"/>
        <v>0</v>
      </c>
      <c r="H106" s="310" t="s">
        <v>132</v>
      </c>
      <c r="I106" s="204">
        <f>'FY 2016 by Agency'!I107*Inflator!$E$5</f>
        <v>215.72443287467462</v>
      </c>
      <c r="J106" s="204">
        <f t="shared" si="124"/>
        <v>215.72443287467462</v>
      </c>
      <c r="K106" s="310" t="s">
        <v>132</v>
      </c>
      <c r="L106" s="204">
        <f>'FY 2016 by Agency'!L107*Inflator!$E$6</f>
        <v>348.38167938931298</v>
      </c>
      <c r="M106" s="204">
        <f t="shared" si="126"/>
        <v>132.65724651463836</v>
      </c>
      <c r="N106" s="199">
        <f t="shared" si="127"/>
        <v>0.61493844135729292</v>
      </c>
      <c r="O106" s="204">
        <f>'FY 2016 by Agency'!O107*Inflator!$E$7</f>
        <v>314.5174234424498</v>
      </c>
      <c r="P106" s="204">
        <f t="shared" si="107"/>
        <v>-33.864255946863182</v>
      </c>
      <c r="Q106" s="304">
        <f t="shared" si="89"/>
        <v>-9.7204468404379615E-2</v>
      </c>
      <c r="R106" s="204">
        <f>'FY 2016 by Agency'!R107*Inflator!$E$8</f>
        <v>336.32892057026476</v>
      </c>
      <c r="S106" s="204">
        <f>R106-O106</f>
        <v>21.81149712781496</v>
      </c>
      <c r="T106" s="304">
        <f>S106/O106</f>
        <v>6.9349090072925682E-2</v>
      </c>
      <c r="U106" s="204">
        <f>'FY 2016 by Agency'!U107*Inflator!$E$9</f>
        <v>340.46916445623339</v>
      </c>
      <c r="V106" s="204">
        <f t="shared" si="108"/>
        <v>4.1402438859686299</v>
      </c>
      <c r="W106" s="304">
        <f t="shared" si="109"/>
        <v>1.2310103689413958E-2</v>
      </c>
      <c r="X106" s="204">
        <f>'FY 2016 by Agency'!X107*Inflator!$E$10</f>
        <v>455.38075579549064</v>
      </c>
      <c r="Y106" s="206">
        <f t="shared" si="110"/>
        <v>114.91159133925726</v>
      </c>
      <c r="Z106" s="304">
        <f>Y106/U106</f>
        <v>0.33750954076203549</v>
      </c>
      <c r="AA106" s="204">
        <f>'FY 2016 by Agency'!AA107*Inflator!$E$11</f>
        <v>463.71838165020716</v>
      </c>
      <c r="AB106" s="206">
        <f t="shared" si="93"/>
        <v>8.3376258547165207</v>
      </c>
      <c r="AC106" s="304">
        <f t="shared" si="94"/>
        <v>1.8309130872585466E-2</v>
      </c>
      <c r="AD106" s="204" t="e">
        <f>'FY 2016 by Agency'!AD107*Inflator!#REF!</f>
        <v>#REF!</v>
      </c>
      <c r="AE106" s="204">
        <f>'FY 2016 by Agency'!AE107*Inflator!$B$8</f>
        <v>0</v>
      </c>
      <c r="AF106" s="204">
        <f>'FY 2016 by Agency'!AF107*Inflator!$E$12</f>
        <v>336.37030075187977</v>
      </c>
      <c r="AG106" s="204">
        <f t="shared" si="95"/>
        <v>-127.3480808983274</v>
      </c>
      <c r="AH106" s="304">
        <f t="shared" si="96"/>
        <v>-0.27462374996898187</v>
      </c>
      <c r="AI106" s="204">
        <f>'FY 2016 by Agency'!AI107*Inflator!$B$8</f>
        <v>0</v>
      </c>
      <c r="AJ106" s="204">
        <f>'FY 2016 by Agency'!AJ107*Inflator!$B$8</f>
        <v>0</v>
      </c>
      <c r="AK106" s="204">
        <f>'FY 2016 by Agency'!AK107</f>
        <v>305</v>
      </c>
      <c r="AL106" s="204">
        <f>'FY 2016 by Agency'!AL107</f>
        <v>0</v>
      </c>
      <c r="AM106" s="204">
        <f>'FY 2016 by Agency'!AM107</f>
        <v>305</v>
      </c>
      <c r="AN106" s="204">
        <f>'FY 2016 by Agency'!AN107</f>
        <v>199</v>
      </c>
      <c r="AO106" s="204">
        <f>'FY 2016 by Agency'!AO107</f>
        <v>199</v>
      </c>
      <c r="AP106" s="204">
        <f>'FY 2016 by Agency'!AP107</f>
        <v>0</v>
      </c>
      <c r="AQ106" s="204">
        <f>'FY 2016 by Agency'!AQ107</f>
        <v>0</v>
      </c>
      <c r="AR106" s="204">
        <f>'FY 2016 by Agency'!AR107</f>
        <v>0</v>
      </c>
      <c r="AS106" s="204">
        <f>'FY 2016 by Agency'!AS107</f>
        <v>173.09004999999999</v>
      </c>
      <c r="AT106" s="204" t="e">
        <f t="shared" si="97"/>
        <v>#REF!</v>
      </c>
      <c r="AU106" s="304" t="e">
        <f t="shared" si="98"/>
        <v>#REF!</v>
      </c>
      <c r="AV106" s="204">
        <f t="shared" si="99"/>
        <v>-163.28025075187978</v>
      </c>
      <c r="AW106" s="304">
        <f t="shared" si="100"/>
        <v>-0.48541815489329376</v>
      </c>
      <c r="AX106" s="410" t="s">
        <v>422</v>
      </c>
      <c r="AY106" s="207">
        <v>199.48599999999999</v>
      </c>
      <c r="AZ106" s="207">
        <f t="shared" si="101"/>
        <v>0.48599999999999</v>
      </c>
      <c r="BA106" s="207">
        <f t="shared" si="102"/>
        <v>-162.79425075187979</v>
      </c>
      <c r="BB106" s="207">
        <f t="shared" si="103"/>
        <v>173.57604999999998</v>
      </c>
      <c r="BC106" s="304">
        <f t="shared" si="104"/>
        <v>-0.4839733186550359</v>
      </c>
      <c r="BD106" s="306">
        <v>0</v>
      </c>
      <c r="BE106" s="199">
        <f t="shared" si="111"/>
        <v>0</v>
      </c>
      <c r="BI106" s="200">
        <v>195</v>
      </c>
      <c r="BJ106" s="207">
        <f t="shared" si="112"/>
        <v>-4.48599999999999</v>
      </c>
      <c r="BK106" s="206">
        <f t="shared" si="113"/>
        <v>195</v>
      </c>
      <c r="BL106" s="307">
        <f>'FY 2016 by Agency'!BB107*Inflator!$E$13</f>
        <v>190.30926156545618</v>
      </c>
      <c r="BM106" s="204">
        <f t="shared" si="114"/>
        <v>-146.06103918642359</v>
      </c>
      <c r="BN106" s="199">
        <f t="shared" si="115"/>
        <v>-0.43422691854761597</v>
      </c>
      <c r="BO106" s="204">
        <f>'FY 2016 by Agency'!AX107*Inflator!$E$13</f>
        <v>214.39884040280745</v>
      </c>
      <c r="BP106" s="204">
        <f t="shared" si="84"/>
        <v>-121.97146034907232</v>
      </c>
      <c r="BQ106" s="199">
        <f t="shared" si="85"/>
        <v>-0.36261067066989178</v>
      </c>
      <c r="BR106" s="204">
        <f>'FY 2016 by Agency'!BE107*Inflator!$E$14</f>
        <v>200.76311084624552</v>
      </c>
      <c r="BS106" s="204">
        <f t="shared" si="86"/>
        <v>-13.635729556561927</v>
      </c>
      <c r="BT106" s="199">
        <f t="shared" si="87"/>
        <v>-6.3599828856086352E-2</v>
      </c>
      <c r="BU106" s="204">
        <f>'FY 2016 by Agency'!BL107*Inflator!$E$14</f>
        <v>200.76311084624552</v>
      </c>
      <c r="BV106" s="204">
        <f t="shared" si="116"/>
        <v>10.453849280789342</v>
      </c>
      <c r="BW106" s="206">
        <v>199</v>
      </c>
      <c r="BX106" s="206">
        <f>'FY 2016 by Agency'!BW107*Inflator!E15</f>
        <v>263.01583113456462</v>
      </c>
      <c r="BY106" s="204">
        <f>'FY 2016 by Agency'!BZ107*Inflator!$E$15</f>
        <v>460.54177660510112</v>
      </c>
      <c r="BZ106" s="206">
        <f t="shared" si="82"/>
        <v>-1.7631108462455245</v>
      </c>
      <c r="CA106" s="199">
        <f t="shared" si="83"/>
        <v>-8.7820458589915121E-3</v>
      </c>
      <c r="CB106" s="308">
        <f>'FY 2016 by Agency'!CF107*Inflator!$E$16</f>
        <v>451.5454807969968</v>
      </c>
      <c r="CC106" s="206">
        <f t="shared" si="105"/>
        <v>-8.9962958081043212</v>
      </c>
      <c r="CD106" s="304">
        <f t="shared" si="106"/>
        <v>-1.9534157952880653E-2</v>
      </c>
      <c r="CE106" s="206">
        <f>'FY 2016 by Agency'!CK107*Inflator!$E$17</f>
        <v>537.02975347123834</v>
      </c>
      <c r="CF106" s="206">
        <f t="shared" si="117"/>
        <v>85.484272674241538</v>
      </c>
      <c r="CG106" s="562">
        <f t="shared" si="118"/>
        <v>0.18931486707243353</v>
      </c>
      <c r="CH106" s="753">
        <f>'FY 2016 by Agency'!CN107*Inflator!$E$18</f>
        <v>539</v>
      </c>
      <c r="CI106" s="753">
        <f t="shared" si="119"/>
        <v>1.9702465287616633</v>
      </c>
      <c r="CJ106" s="304">
        <f t="shared" si="120"/>
        <v>3.6687846735240222E-3</v>
      </c>
    </row>
    <row r="107" spans="1:88" ht="18" customHeight="1" x14ac:dyDescent="0.25">
      <c r="A107" s="312" t="s">
        <v>220</v>
      </c>
      <c r="B107" s="310" t="s">
        <v>132</v>
      </c>
      <c r="C107" s="310" t="s">
        <v>132</v>
      </c>
      <c r="D107" s="310" t="s">
        <v>132</v>
      </c>
      <c r="E107" s="310" t="s">
        <v>132</v>
      </c>
      <c r="F107" s="310" t="s">
        <v>132</v>
      </c>
      <c r="G107" s="310" t="s">
        <v>132</v>
      </c>
      <c r="H107" s="310" t="s">
        <v>132</v>
      </c>
      <c r="I107" s="310" t="s">
        <v>132</v>
      </c>
      <c r="J107" s="310" t="s">
        <v>132</v>
      </c>
      <c r="K107" s="310" t="s">
        <v>132</v>
      </c>
      <c r="L107" s="204">
        <f>'FY 2016 by Agency'!L108*Inflator!$E$6</f>
        <v>987.51799345692473</v>
      </c>
      <c r="M107" s="310" t="s">
        <v>132</v>
      </c>
      <c r="N107" s="310" t="s">
        <v>132</v>
      </c>
      <c r="O107" s="204">
        <f>'FY 2016 by Agency'!O108*Inflator!$E$7</f>
        <v>925.79725448785632</v>
      </c>
      <c r="P107" s="315">
        <f t="shared" si="107"/>
        <v>-61.720738969068407</v>
      </c>
      <c r="Q107" s="304">
        <f t="shared" si="89"/>
        <v>-6.2500875303555317E-2</v>
      </c>
      <c r="R107" s="204">
        <f>'FY 2016 by Agency'!R108*Inflator!$E$8</f>
        <v>631.07535641547861</v>
      </c>
      <c r="S107" s="204">
        <f>R107-O107</f>
        <v>-294.72189807237771</v>
      </c>
      <c r="T107" s="304">
        <f>S107/O107</f>
        <v>-0.31834388862539403</v>
      </c>
      <c r="U107" s="204">
        <f>'FY 2016 by Agency'!U108*Inflator!$E$9</f>
        <v>968.84383289124651</v>
      </c>
      <c r="V107" s="204">
        <f t="shared" si="108"/>
        <v>337.7684764757679</v>
      </c>
      <c r="W107" s="304">
        <f t="shared" si="109"/>
        <v>0.53522685213743726</v>
      </c>
      <c r="X107" s="204">
        <f>'FY 2016 by Agency'!X108*Inflator!$E$10</f>
        <v>1687.6548110511276</v>
      </c>
      <c r="Y107" s="206">
        <f t="shared" si="110"/>
        <v>718.81097815988107</v>
      </c>
      <c r="Z107" s="304">
        <f>Y107/U107</f>
        <v>0.74192656624008069</v>
      </c>
      <c r="AA107" s="204">
        <f>'FY 2016 by Agency'!AA108*Inflator!$E$11</f>
        <v>1518.5629181267923</v>
      </c>
      <c r="AB107" s="206">
        <f t="shared" si="93"/>
        <v>-169.0918929243353</v>
      </c>
      <c r="AC107" s="304">
        <f t="shared" si="94"/>
        <v>-0.10019341148265933</v>
      </c>
      <c r="AD107" s="204" t="e">
        <f>'FY 2016 by Agency'!AD108*Inflator!#REF!</f>
        <v>#REF!</v>
      </c>
      <c r="AE107" s="204">
        <f>'FY 2016 by Agency'!AE108*Inflator!$B$8</f>
        <v>0</v>
      </c>
      <c r="AF107" s="204">
        <f>'FY 2016 by Agency'!AF108*Inflator!$E$12</f>
        <v>1459.4859022556393</v>
      </c>
      <c r="AG107" s="204">
        <f t="shared" si="95"/>
        <v>-59.07701587115298</v>
      </c>
      <c r="AH107" s="304">
        <f t="shared" si="96"/>
        <v>-3.8903238822680347E-2</v>
      </c>
      <c r="AI107" s="204">
        <f>'FY 2016 by Agency'!AI108*Inflator!$B$8</f>
        <v>0</v>
      </c>
      <c r="AJ107" s="204">
        <f>'FY 2016 by Agency'!AJ108*Inflator!$B$8</f>
        <v>0</v>
      </c>
      <c r="AK107" s="204">
        <f>'FY 2016 by Agency'!AK108</f>
        <v>1273</v>
      </c>
      <c r="AL107" s="204">
        <f>'FY 2016 by Agency'!AL108</f>
        <v>0</v>
      </c>
      <c r="AM107" s="204">
        <f>'FY 2016 by Agency'!AM108</f>
        <v>1273</v>
      </c>
      <c r="AN107" s="204">
        <f>'FY 2016 by Agency'!AN108</f>
        <v>1624</v>
      </c>
      <c r="AO107" s="204">
        <f>'FY 2016 by Agency'!AO108</f>
        <v>1624</v>
      </c>
      <c r="AP107" s="204">
        <f>'FY 2016 by Agency'!AP108</f>
        <v>0</v>
      </c>
      <c r="AQ107" s="204">
        <f>'FY 2016 by Agency'!AQ108</f>
        <v>0</v>
      </c>
      <c r="AR107" s="204">
        <f>'FY 2016 by Agency'!AR108</f>
        <v>0</v>
      </c>
      <c r="AS107" s="204">
        <f>'FY 2016 by Agency'!AS108</f>
        <v>1190.7141999999999</v>
      </c>
      <c r="AT107" s="204" t="e">
        <f t="shared" si="97"/>
        <v>#REF!</v>
      </c>
      <c r="AU107" s="304" t="e">
        <f t="shared" si="98"/>
        <v>#REF!</v>
      </c>
      <c r="AV107" s="204">
        <f t="shared" si="99"/>
        <v>-268.77170225563941</v>
      </c>
      <c r="AW107" s="304">
        <f t="shared" si="100"/>
        <v>-0.18415505202225801</v>
      </c>
      <c r="AX107" s="410" t="s">
        <v>423</v>
      </c>
      <c r="AY107" s="207">
        <v>1623.7539999999999</v>
      </c>
      <c r="AZ107" s="207">
        <f t="shared" si="101"/>
        <v>-0.24600000000009459</v>
      </c>
      <c r="BA107" s="207">
        <f t="shared" si="102"/>
        <v>-269.01770225563951</v>
      </c>
      <c r="BB107" s="207">
        <f t="shared" si="103"/>
        <v>1190.4681999999998</v>
      </c>
      <c r="BC107" s="304">
        <f t="shared" si="104"/>
        <v>-0.18432360452394358</v>
      </c>
      <c r="BD107" s="306">
        <v>3.972</v>
      </c>
      <c r="BE107" s="199">
        <f t="shared" si="111"/>
        <v>2.446183350433625E-3</v>
      </c>
      <c r="BI107" s="200">
        <v>1601</v>
      </c>
      <c r="BJ107" s="207">
        <f t="shared" si="112"/>
        <v>-22.753999999999905</v>
      </c>
      <c r="BK107" s="206">
        <f t="shared" si="113"/>
        <v>1601</v>
      </c>
      <c r="BL107" s="307">
        <f>'FY 2016 by Agency'!BB108*Inflator!$E$13</f>
        <v>1309.1679165700334</v>
      </c>
      <c r="BM107" s="204">
        <f t="shared" si="114"/>
        <v>-150.31798568560589</v>
      </c>
      <c r="BN107" s="199">
        <f t="shared" si="115"/>
        <v>-0.10299379079529926</v>
      </c>
      <c r="BO107" s="204">
        <f>'FY 2016 by Agency'!AX108*Inflator!$E$13</f>
        <v>1760.2694537686909</v>
      </c>
      <c r="BP107" s="204">
        <f t="shared" si="84"/>
        <v>300.78355151305163</v>
      </c>
      <c r="BQ107" s="199">
        <f t="shared" si="85"/>
        <v>0.20608869948533923</v>
      </c>
      <c r="BR107" s="204">
        <f>'FY 2016 by Agency'!BE108*Inflator!$E$14</f>
        <v>1503.0393325387365</v>
      </c>
      <c r="BS107" s="204">
        <f t="shared" si="86"/>
        <v>-257.23012122995442</v>
      </c>
      <c r="BT107" s="199">
        <f t="shared" si="87"/>
        <v>-0.14613110548457878</v>
      </c>
      <c r="BU107" s="204">
        <f>'FY 2016 by Agency'!BL108*Inflator!$E$14</f>
        <v>1503.0393325387365</v>
      </c>
      <c r="BV107" s="204">
        <f t="shared" si="116"/>
        <v>193.8714159687031</v>
      </c>
      <c r="BW107" s="206">
        <v>0</v>
      </c>
      <c r="BX107" s="206">
        <f>'FY 2016 by Agency'!BW108*Inflator!E15</f>
        <v>0</v>
      </c>
      <c r="BY107" s="204">
        <f>'FY 2016 by Agency'!BZ108*Inflator!$E$15</f>
        <v>0</v>
      </c>
      <c r="BZ107" s="206">
        <f t="shared" si="82"/>
        <v>-1503.0393325387365</v>
      </c>
      <c r="CA107" s="199">
        <f t="shared" si="83"/>
        <v>-1</v>
      </c>
      <c r="CB107" s="308">
        <f>'FY 2016 by Agency'!CF108*Inflator!$E$16</f>
        <v>0</v>
      </c>
      <c r="CC107" s="206">
        <f t="shared" si="105"/>
        <v>0</v>
      </c>
      <c r="CD107" s="304" t="e">
        <f t="shared" si="106"/>
        <v>#DIV/0!</v>
      </c>
      <c r="CE107" s="206">
        <f>'FY 2016 by Agency'!CK108*Inflator!$E$17</f>
        <v>0</v>
      </c>
      <c r="CF107" s="206">
        <f t="shared" si="117"/>
        <v>0</v>
      </c>
      <c r="CG107" s="562" t="e">
        <f t="shared" si="118"/>
        <v>#DIV/0!</v>
      </c>
      <c r="CH107" s="753">
        <f>'FY 2016 by Agency'!CN108*Inflator!$E$18</f>
        <v>0</v>
      </c>
      <c r="CI107" s="753">
        <f t="shared" si="119"/>
        <v>0</v>
      </c>
      <c r="CJ107" s="304" t="e">
        <f t="shared" si="120"/>
        <v>#DIV/0!</v>
      </c>
    </row>
    <row r="108" spans="1:88" ht="18" customHeight="1" x14ac:dyDescent="0.25">
      <c r="A108" s="312" t="s">
        <v>221</v>
      </c>
      <c r="B108" s="310" t="s">
        <v>132</v>
      </c>
      <c r="C108" s="310" t="s">
        <v>132</v>
      </c>
      <c r="D108" s="310" t="s">
        <v>132</v>
      </c>
      <c r="E108" s="310" t="s">
        <v>132</v>
      </c>
      <c r="F108" s="310" t="s">
        <v>132</v>
      </c>
      <c r="G108" s="310" t="s">
        <v>132</v>
      </c>
      <c r="H108" s="310" t="s">
        <v>132</v>
      </c>
      <c r="I108" s="310" t="s">
        <v>132</v>
      </c>
      <c r="J108" s="310" t="s">
        <v>132</v>
      </c>
      <c r="K108" s="310" t="s">
        <v>132</v>
      </c>
      <c r="L108" s="204">
        <f>'FY 2016 by Agency'!L109*Inflator!$E$6</f>
        <v>961.32388222464556</v>
      </c>
      <c r="M108" s="310" t="s">
        <v>132</v>
      </c>
      <c r="N108" s="310" t="s">
        <v>132</v>
      </c>
      <c r="O108" s="204">
        <f>'FY 2016 by Agency'!O109*Inflator!$E$7</f>
        <v>0</v>
      </c>
      <c r="P108" s="315">
        <f t="shared" si="107"/>
        <v>-961.32388222464556</v>
      </c>
      <c r="Q108" s="304">
        <f t="shared" si="89"/>
        <v>-1</v>
      </c>
      <c r="R108" s="204">
        <f>'FY 2016 by Agency'!R109*Inflator!$E$8</f>
        <v>0</v>
      </c>
      <c r="S108" s="204">
        <f>R108-O108</f>
        <v>0</v>
      </c>
      <c r="T108" s="394" t="s">
        <v>132</v>
      </c>
      <c r="U108" s="204">
        <f>'FY 2016 by Agency'!U109*Inflator!$E$9</f>
        <v>0</v>
      </c>
      <c r="V108" s="204">
        <f t="shared" si="108"/>
        <v>0</v>
      </c>
      <c r="W108" s="394" t="s">
        <v>132</v>
      </c>
      <c r="X108" s="204">
        <f>'FY 2016 by Agency'!X109*Inflator!$E$10</f>
        <v>0</v>
      </c>
      <c r="Y108" s="206">
        <f t="shared" si="110"/>
        <v>0</v>
      </c>
      <c r="Z108" s="311" t="s">
        <v>405</v>
      </c>
      <c r="AA108" s="204">
        <f>'FY 2016 by Agency'!AA109*Inflator!$E$11</f>
        <v>0</v>
      </c>
      <c r="AB108" s="206">
        <f t="shared" si="93"/>
        <v>0</v>
      </c>
      <c r="AC108" s="304" t="e">
        <f t="shared" si="94"/>
        <v>#DIV/0!</v>
      </c>
      <c r="AD108" s="204" t="e">
        <f>'FY 2016 by Agency'!AD109*Inflator!#REF!</f>
        <v>#REF!</v>
      </c>
      <c r="AE108" s="204">
        <f>'FY 2016 by Agency'!AE109*Inflator!$B$8</f>
        <v>0</v>
      </c>
      <c r="AF108" s="204">
        <f>'FY 2016 by Agency'!AF109*Inflator!$E$12</f>
        <v>0</v>
      </c>
      <c r="AG108" s="204">
        <f t="shared" si="95"/>
        <v>0</v>
      </c>
      <c r="AH108" s="304" t="e">
        <f t="shared" si="96"/>
        <v>#DIV/0!</v>
      </c>
      <c r="AI108" s="204">
        <f>'FY 2016 by Agency'!AI109*Inflator!$B$8</f>
        <v>0</v>
      </c>
      <c r="AJ108" s="204">
        <f>'FY 2016 by Agency'!AJ109*Inflator!$B$8</f>
        <v>0</v>
      </c>
      <c r="AK108" s="204">
        <f>'FY 2016 by Agency'!AK109</f>
        <v>0</v>
      </c>
      <c r="AL108" s="204">
        <f>'FY 2016 by Agency'!AL109</f>
        <v>0</v>
      </c>
      <c r="AM108" s="204">
        <f>'FY 2016 by Agency'!AM109</f>
        <v>0</v>
      </c>
      <c r="AN108" s="204">
        <f>'FY 2016 by Agency'!AN109</f>
        <v>0</v>
      </c>
      <c r="AO108" s="204">
        <f>'FY 2016 by Agency'!AO109</f>
        <v>0</v>
      </c>
      <c r="AP108" s="204">
        <f>'FY 2016 by Agency'!AP109</f>
        <v>0</v>
      </c>
      <c r="AQ108" s="204">
        <f>'FY 2016 by Agency'!AQ109</f>
        <v>0</v>
      </c>
      <c r="AR108" s="204">
        <f>'FY 2016 by Agency'!AR109</f>
        <v>0</v>
      </c>
      <c r="AS108" s="204">
        <f>'FY 2016 by Agency'!AS109</f>
        <v>0</v>
      </c>
      <c r="AT108" s="204" t="e">
        <f t="shared" si="97"/>
        <v>#REF!</v>
      </c>
      <c r="AU108" s="304" t="e">
        <f t="shared" si="98"/>
        <v>#REF!</v>
      </c>
      <c r="AV108" s="204">
        <f t="shared" si="99"/>
        <v>0</v>
      </c>
      <c r="AW108" s="304" t="e">
        <f t="shared" si="100"/>
        <v>#DIV/0!</v>
      </c>
      <c r="AX108" s="410" t="s">
        <v>424</v>
      </c>
      <c r="AY108" s="207">
        <v>0</v>
      </c>
      <c r="AZ108" s="207">
        <f t="shared" si="101"/>
        <v>0</v>
      </c>
      <c r="BA108" s="207">
        <f t="shared" si="102"/>
        <v>0</v>
      </c>
      <c r="BB108" s="207">
        <f t="shared" si="103"/>
        <v>0</v>
      </c>
      <c r="BC108" s="304" t="e">
        <f t="shared" si="104"/>
        <v>#DIV/0!</v>
      </c>
      <c r="BD108" s="306"/>
      <c r="BE108" s="199"/>
      <c r="BI108" s="200"/>
      <c r="BJ108" s="207">
        <f t="shared" si="112"/>
        <v>0</v>
      </c>
      <c r="BK108" s="206">
        <f t="shared" si="113"/>
        <v>0</v>
      </c>
      <c r="BL108" s="307">
        <f>'FY 2016 by Agency'!BB109*Inflator!$E$13</f>
        <v>0</v>
      </c>
      <c r="BM108" s="204">
        <f t="shared" si="114"/>
        <v>0</v>
      </c>
      <c r="BN108" s="199" t="e">
        <f t="shared" si="115"/>
        <v>#DIV/0!</v>
      </c>
      <c r="BO108" s="204">
        <f>'FY 2016 by Agency'!AX109*Inflator!$E$13</f>
        <v>0</v>
      </c>
      <c r="BP108" s="204">
        <f t="shared" si="84"/>
        <v>0</v>
      </c>
      <c r="BQ108" s="199" t="e">
        <f t="shared" si="85"/>
        <v>#DIV/0!</v>
      </c>
      <c r="BR108" s="204">
        <f>'FY 2016 by Agency'!BE109*Inflator!$E$14</f>
        <v>0</v>
      </c>
      <c r="BS108" s="204">
        <f t="shared" si="86"/>
        <v>0</v>
      </c>
      <c r="BT108" s="199" t="e">
        <f t="shared" si="87"/>
        <v>#DIV/0!</v>
      </c>
      <c r="BU108" s="204">
        <f>'FY 2016 by Agency'!BL109*Inflator!$E$14</f>
        <v>0</v>
      </c>
      <c r="BV108" s="204">
        <f t="shared" si="116"/>
        <v>0</v>
      </c>
      <c r="BW108" s="206">
        <v>0</v>
      </c>
      <c r="BX108" s="206">
        <f>'FY 2016 by Agency'!BW109*Inflator!E15</f>
        <v>0</v>
      </c>
      <c r="BY108" s="204">
        <f>'FY 2016 by Agency'!BZ109*Inflator!$E$15</f>
        <v>0</v>
      </c>
      <c r="BZ108" s="206">
        <f t="shared" si="82"/>
        <v>0</v>
      </c>
      <c r="CA108" s="199" t="e">
        <f t="shared" si="83"/>
        <v>#DIV/0!</v>
      </c>
      <c r="CB108" s="308">
        <f>'FY 2016 by Agency'!CF109*Inflator!$E$16</f>
        <v>0</v>
      </c>
      <c r="CC108" s="206">
        <f t="shared" si="105"/>
        <v>0</v>
      </c>
      <c r="CD108" s="304" t="e">
        <f t="shared" si="106"/>
        <v>#DIV/0!</v>
      </c>
      <c r="CE108" s="206">
        <f>'FY 2016 by Agency'!CK109*Inflator!$E$17</f>
        <v>0</v>
      </c>
      <c r="CF108" s="206">
        <f t="shared" si="117"/>
        <v>0</v>
      </c>
      <c r="CG108" s="562" t="e">
        <f t="shared" si="118"/>
        <v>#DIV/0!</v>
      </c>
      <c r="CH108" s="753">
        <f>'FY 2016 by Agency'!CN109*Inflator!$E$18</f>
        <v>0</v>
      </c>
      <c r="CI108" s="753">
        <f t="shared" si="119"/>
        <v>0</v>
      </c>
      <c r="CJ108" s="304" t="e">
        <f t="shared" si="120"/>
        <v>#DIV/0!</v>
      </c>
    </row>
    <row r="109" spans="1:88" ht="18" customHeight="1" x14ac:dyDescent="0.25">
      <c r="A109" s="312" t="s">
        <v>222</v>
      </c>
      <c r="B109" s="310" t="s">
        <v>132</v>
      </c>
      <c r="C109" s="310" t="s">
        <v>132</v>
      </c>
      <c r="D109" s="310" t="s">
        <v>132</v>
      </c>
      <c r="E109" s="310" t="s">
        <v>132</v>
      </c>
      <c r="F109" s="310" t="s">
        <v>132</v>
      </c>
      <c r="G109" s="310" t="s">
        <v>132</v>
      </c>
      <c r="H109" s="310" t="s">
        <v>132</v>
      </c>
      <c r="I109" s="310" t="s">
        <v>132</v>
      </c>
      <c r="J109" s="310" t="s">
        <v>132</v>
      </c>
      <c r="K109" s="310" t="s">
        <v>132</v>
      </c>
      <c r="L109" s="204">
        <f>'FY 2016 by Agency'!L110*Inflator!$E$6</f>
        <v>0</v>
      </c>
      <c r="M109" s="310" t="s">
        <v>132</v>
      </c>
      <c r="N109" s="310" t="s">
        <v>132</v>
      </c>
      <c r="O109" s="204">
        <f>'FY 2016 by Agency'!O110*Inflator!$E$7</f>
        <v>0</v>
      </c>
      <c r="P109" s="315">
        <f t="shared" si="107"/>
        <v>0</v>
      </c>
      <c r="Q109" s="394" t="s">
        <v>132</v>
      </c>
      <c r="R109" s="204">
        <f>'FY 2016 by Agency'!R110*Inflator!$E$8</f>
        <v>0</v>
      </c>
      <c r="S109" s="204">
        <f t="shared" si="90"/>
        <v>0</v>
      </c>
      <c r="T109" s="394" t="s">
        <v>132</v>
      </c>
      <c r="U109" s="204">
        <f>'FY 2016 by Agency'!U110*Inflator!$E$9</f>
        <v>0</v>
      </c>
      <c r="V109" s="204">
        <f t="shared" si="108"/>
        <v>0</v>
      </c>
      <c r="W109" s="394" t="s">
        <v>132</v>
      </c>
      <c r="X109" s="204">
        <f>'FY 2016 by Agency'!X110*Inflator!$E$10</f>
        <v>0</v>
      </c>
      <c r="Y109" s="206">
        <f t="shared" si="110"/>
        <v>0</v>
      </c>
      <c r="Z109" s="311" t="s">
        <v>405</v>
      </c>
      <c r="AA109" s="204">
        <f>'FY 2016 by Agency'!AA110*Inflator!$E$11</f>
        <v>0</v>
      </c>
      <c r="AB109" s="206">
        <f t="shared" si="93"/>
        <v>0</v>
      </c>
      <c r="AC109" s="304" t="e">
        <f t="shared" si="94"/>
        <v>#DIV/0!</v>
      </c>
      <c r="AD109" s="204" t="e">
        <f>'FY 2016 by Agency'!AD110*Inflator!#REF!</f>
        <v>#REF!</v>
      </c>
      <c r="AE109" s="204">
        <f>'FY 2016 by Agency'!AE110*Inflator!$B$8</f>
        <v>0</v>
      </c>
      <c r="AF109" s="204">
        <f>'FY 2016 by Agency'!AF110*Inflator!$E$12</f>
        <v>0</v>
      </c>
      <c r="AG109" s="204">
        <f t="shared" si="95"/>
        <v>0</v>
      </c>
      <c r="AH109" s="304" t="e">
        <f t="shared" si="96"/>
        <v>#DIV/0!</v>
      </c>
      <c r="AI109" s="204">
        <f>'FY 2016 by Agency'!AI110*Inflator!$B$8</f>
        <v>0</v>
      </c>
      <c r="AJ109" s="204">
        <f>'FY 2016 by Agency'!AJ110*Inflator!$B$8</f>
        <v>0</v>
      </c>
      <c r="AK109" s="204">
        <f>'FY 2016 by Agency'!AK110</f>
        <v>3131</v>
      </c>
      <c r="AL109" s="204">
        <f>'FY 2016 by Agency'!AL110</f>
        <v>0</v>
      </c>
      <c r="AM109" s="204">
        <f>'FY 2016 by Agency'!AM110</f>
        <v>3131</v>
      </c>
      <c r="AN109" s="204">
        <f>'FY 2016 by Agency'!AN110</f>
        <v>2643</v>
      </c>
      <c r="AO109" s="204">
        <f>'FY 2016 by Agency'!AO110</f>
        <v>9777</v>
      </c>
      <c r="AP109" s="204">
        <f>'FY 2016 by Agency'!AP110</f>
        <v>0</v>
      </c>
      <c r="AQ109" s="204">
        <f>'FY 2016 by Agency'!AQ110</f>
        <v>0</v>
      </c>
      <c r="AR109" s="204">
        <f>'FY 2016 by Agency'!AR110</f>
        <v>0</v>
      </c>
      <c r="AS109" s="204">
        <f>'FY 2016 by Agency'!AS110</f>
        <v>5402.3288599999996</v>
      </c>
      <c r="AT109" s="204" t="e">
        <f t="shared" si="97"/>
        <v>#REF!</v>
      </c>
      <c r="AU109" s="304" t="e">
        <f t="shared" si="98"/>
        <v>#REF!</v>
      </c>
      <c r="AV109" s="204">
        <f t="shared" si="99"/>
        <v>5402.3288599999996</v>
      </c>
      <c r="AW109" s="304" t="e">
        <f t="shared" si="100"/>
        <v>#DIV/0!</v>
      </c>
      <c r="AX109" s="410" t="s">
        <v>425</v>
      </c>
      <c r="AY109" s="207">
        <v>9777.3339999999989</v>
      </c>
      <c r="AZ109" s="207">
        <f t="shared" si="101"/>
        <v>0.33399999999892316</v>
      </c>
      <c r="BA109" s="207">
        <f t="shared" si="102"/>
        <v>5402.6628599999985</v>
      </c>
      <c r="BB109" s="207">
        <f t="shared" si="103"/>
        <v>5402.6628599999985</v>
      </c>
      <c r="BC109" s="304" t="e">
        <f t="shared" si="104"/>
        <v>#DIV/0!</v>
      </c>
      <c r="BD109" s="306">
        <v>252.02199999999999</v>
      </c>
      <c r="BE109" s="199">
        <f t="shared" si="111"/>
        <v>2.5776147158315346E-2</v>
      </c>
      <c r="BF109" s="66">
        <v>264</v>
      </c>
      <c r="BI109" s="200">
        <v>9507</v>
      </c>
      <c r="BJ109" s="207">
        <f t="shared" si="112"/>
        <v>-270.33399999999892</v>
      </c>
      <c r="BK109" s="206">
        <f t="shared" si="113"/>
        <v>9507</v>
      </c>
      <c r="BL109" s="307">
        <f>'FY 2016 by Agency'!BB110*Inflator!$E$13</f>
        <v>5939.7591951724135</v>
      </c>
      <c r="BM109" s="204">
        <f t="shared" si="114"/>
        <v>5939.7591951724135</v>
      </c>
      <c r="BN109" s="199" t="e">
        <f t="shared" si="115"/>
        <v>#DIV/0!</v>
      </c>
      <c r="BO109" s="204">
        <f>'FY 2016 by Agency'!AX110*Inflator!$E$13</f>
        <v>0</v>
      </c>
      <c r="BP109" s="204">
        <f t="shared" si="84"/>
        <v>0</v>
      </c>
      <c r="BQ109" s="199" t="e">
        <f t="shared" si="85"/>
        <v>#DIV/0!</v>
      </c>
      <c r="BR109" s="204">
        <f>'FY 2016 by Agency'!BE110*Inflator!$E$14</f>
        <v>0</v>
      </c>
      <c r="BS109" s="204">
        <f t="shared" si="86"/>
        <v>0</v>
      </c>
      <c r="BT109" s="199" t="e">
        <f t="shared" si="87"/>
        <v>#DIV/0!</v>
      </c>
      <c r="BU109" s="204">
        <f>'FY 2016 by Agency'!BL110*Inflator!$E$14</f>
        <v>0</v>
      </c>
      <c r="BV109" s="204">
        <f t="shared" si="116"/>
        <v>-5939.7591951724135</v>
      </c>
      <c r="BW109" s="206">
        <v>0</v>
      </c>
      <c r="BX109" s="206">
        <f>'FY 2016 by Agency'!BW110*Inflator!E15</f>
        <v>5.2814423922603337</v>
      </c>
      <c r="BY109" s="204">
        <f>'FY 2016 by Agency'!BZ110*Inflator!$E$15</f>
        <v>0</v>
      </c>
      <c r="BZ109" s="206">
        <f t="shared" si="82"/>
        <v>0</v>
      </c>
      <c r="CA109" s="199" t="e">
        <f t="shared" si="83"/>
        <v>#DIV/0!</v>
      </c>
      <c r="CB109" s="308">
        <f>'FY 2016 by Agency'!CF110*Inflator!$E$16</f>
        <v>0</v>
      </c>
      <c r="CC109" s="206">
        <f t="shared" si="105"/>
        <v>0</v>
      </c>
      <c r="CD109" s="304" t="e">
        <f t="shared" si="106"/>
        <v>#DIV/0!</v>
      </c>
      <c r="CE109" s="206">
        <f>'FY 2016 by Agency'!CK110*Inflator!$E$17</f>
        <v>0</v>
      </c>
      <c r="CF109" s="206">
        <f t="shared" si="117"/>
        <v>0</v>
      </c>
      <c r="CG109" s="562" t="e">
        <f t="shared" si="118"/>
        <v>#DIV/0!</v>
      </c>
      <c r="CH109" s="753">
        <f>'FY 2016 by Agency'!CN110*Inflator!$E$18</f>
        <v>19240</v>
      </c>
      <c r="CI109" s="753">
        <f t="shared" si="119"/>
        <v>19240</v>
      </c>
      <c r="CJ109" s="304" t="e">
        <f t="shared" si="120"/>
        <v>#DIV/0!</v>
      </c>
    </row>
    <row r="110" spans="1:88" ht="18" customHeight="1" x14ac:dyDescent="0.25">
      <c r="A110" s="312" t="s">
        <v>223</v>
      </c>
      <c r="B110" s="310" t="s">
        <v>132</v>
      </c>
      <c r="C110" s="310" t="s">
        <v>132</v>
      </c>
      <c r="D110" s="310" t="s">
        <v>132</v>
      </c>
      <c r="E110" s="310" t="s">
        <v>132</v>
      </c>
      <c r="F110" s="310" t="s">
        <v>132</v>
      </c>
      <c r="G110" s="310" t="s">
        <v>132</v>
      </c>
      <c r="H110" s="310" t="s">
        <v>132</v>
      </c>
      <c r="I110" s="310" t="s">
        <v>132</v>
      </c>
      <c r="J110" s="310" t="s">
        <v>132</v>
      </c>
      <c r="K110" s="310" t="s">
        <v>132</v>
      </c>
      <c r="L110" s="204">
        <f>'FY 2016 by Agency'!L111*Inflator!$E$6</f>
        <v>0</v>
      </c>
      <c r="M110" s="310" t="s">
        <v>132</v>
      </c>
      <c r="N110" s="310" t="s">
        <v>132</v>
      </c>
      <c r="O110" s="204">
        <f>'FY 2016 by Agency'!O111*Inflator!$E$7</f>
        <v>0</v>
      </c>
      <c r="P110" s="315">
        <f t="shared" si="107"/>
        <v>0</v>
      </c>
      <c r="Q110" s="394" t="s">
        <v>132</v>
      </c>
      <c r="R110" s="204">
        <f>'FY 2016 by Agency'!R111*Inflator!$E$8</f>
        <v>0</v>
      </c>
      <c r="S110" s="204">
        <f t="shared" si="90"/>
        <v>0</v>
      </c>
      <c r="T110" s="394" t="s">
        <v>132</v>
      </c>
      <c r="U110" s="204">
        <f>'FY 2016 by Agency'!U111*Inflator!$E$9</f>
        <v>0</v>
      </c>
      <c r="V110" s="204">
        <f t="shared" si="108"/>
        <v>0</v>
      </c>
      <c r="W110" s="394" t="s">
        <v>132</v>
      </c>
      <c r="X110" s="204">
        <f>'FY 2016 by Agency'!X111*Inflator!$E$10</f>
        <v>0</v>
      </c>
      <c r="Y110" s="206">
        <f t="shared" si="110"/>
        <v>0</v>
      </c>
      <c r="Z110" s="311" t="s">
        <v>405</v>
      </c>
      <c r="AA110" s="204">
        <f>'FY 2016 by Agency'!AA111*Inflator!$E$11</f>
        <v>0</v>
      </c>
      <c r="AB110" s="206">
        <f t="shared" si="93"/>
        <v>0</v>
      </c>
      <c r="AC110" s="304" t="e">
        <f t="shared" si="94"/>
        <v>#DIV/0!</v>
      </c>
      <c r="AD110" s="204" t="e">
        <f>'FY 2016 by Agency'!AD111*Inflator!#REF!</f>
        <v>#REF!</v>
      </c>
      <c r="AE110" s="204">
        <f>'FY 2016 by Agency'!AE111*Inflator!$B$8</f>
        <v>0</v>
      </c>
      <c r="AF110" s="204">
        <f>'FY 2016 by Agency'!AF111*Inflator!$E$12</f>
        <v>0</v>
      </c>
      <c r="AG110" s="204">
        <f t="shared" si="95"/>
        <v>0</v>
      </c>
      <c r="AH110" s="304" t="e">
        <f t="shared" si="96"/>
        <v>#DIV/0!</v>
      </c>
      <c r="AI110" s="204">
        <f>'FY 2016 by Agency'!AI111*Inflator!$B$8</f>
        <v>0</v>
      </c>
      <c r="AJ110" s="204">
        <f>'FY 2016 by Agency'!AJ111*Inflator!$B$8</f>
        <v>0</v>
      </c>
      <c r="AK110" s="204">
        <f>'FY 2016 by Agency'!AK111</f>
        <v>76</v>
      </c>
      <c r="AL110" s="204">
        <f>'FY 2016 by Agency'!AL111</f>
        <v>320</v>
      </c>
      <c r="AM110" s="204">
        <f>'FY 2016 by Agency'!AM111</f>
        <v>396</v>
      </c>
      <c r="AN110" s="204">
        <f>'FY 2016 by Agency'!AN111</f>
        <v>72</v>
      </c>
      <c r="AO110" s="204">
        <f>'FY 2016 by Agency'!AO111</f>
        <v>72</v>
      </c>
      <c r="AP110" s="204">
        <f>'FY 2016 by Agency'!AP111</f>
        <v>6</v>
      </c>
      <c r="AQ110" s="204">
        <f>'FY 2016 by Agency'!AQ111</f>
        <v>1</v>
      </c>
      <c r="AR110" s="204">
        <f>'FY 2016 by Agency'!AR111</f>
        <v>7</v>
      </c>
      <c r="AS110" s="204">
        <f>'FY 2016 by Agency'!AS111</f>
        <v>55.515050000000002</v>
      </c>
      <c r="AT110" s="204" t="e">
        <f t="shared" si="97"/>
        <v>#REF!</v>
      </c>
      <c r="AU110" s="304" t="e">
        <f t="shared" si="98"/>
        <v>#REF!</v>
      </c>
      <c r="AV110" s="204">
        <f t="shared" si="99"/>
        <v>55.515050000000002</v>
      </c>
      <c r="AW110" s="304" t="e">
        <f t="shared" si="100"/>
        <v>#DIV/0!</v>
      </c>
      <c r="AX110" s="410" t="s">
        <v>426</v>
      </c>
      <c r="AY110" s="207">
        <v>71.594999999999999</v>
      </c>
      <c r="AZ110" s="207">
        <f t="shared" si="101"/>
        <v>-0.40500000000000114</v>
      </c>
      <c r="BA110" s="207">
        <f t="shared" si="102"/>
        <v>55.110050000000001</v>
      </c>
      <c r="BB110" s="207">
        <f t="shared" si="103"/>
        <v>55.110050000000001</v>
      </c>
      <c r="BC110" s="304" t="e">
        <f t="shared" si="104"/>
        <v>#DIV/0!</v>
      </c>
      <c r="BD110" s="306">
        <v>0.47599999999999998</v>
      </c>
      <c r="BE110" s="199">
        <f t="shared" si="111"/>
        <v>6.6485089740903692E-3</v>
      </c>
      <c r="BI110" s="200">
        <v>70</v>
      </c>
      <c r="BJ110" s="207">
        <f t="shared" si="112"/>
        <v>-1.5949999999999989</v>
      </c>
      <c r="BK110" s="206">
        <f t="shared" si="113"/>
        <v>77</v>
      </c>
      <c r="BL110" s="307">
        <f>'FY 2016 by Agency'!BB111*Inflator!$E$13</f>
        <v>53.341386985047301</v>
      </c>
      <c r="BM110" s="204">
        <f t="shared" si="114"/>
        <v>53.341386985047301</v>
      </c>
      <c r="BN110" s="199" t="e">
        <f t="shared" si="115"/>
        <v>#DIV/0!</v>
      </c>
      <c r="BO110" s="204">
        <f>'FY 2016 by Agency'!AX111*Inflator!$E$13</f>
        <v>0</v>
      </c>
      <c r="BP110" s="204">
        <f t="shared" si="84"/>
        <v>0</v>
      </c>
      <c r="BQ110" s="199" t="e">
        <f t="shared" si="85"/>
        <v>#DIV/0!</v>
      </c>
      <c r="BR110" s="204">
        <f>'FY 2016 by Agency'!BE111*Inflator!$E$14</f>
        <v>0</v>
      </c>
      <c r="BS110" s="204">
        <f t="shared" si="86"/>
        <v>0</v>
      </c>
      <c r="BT110" s="199" t="e">
        <f t="shared" si="87"/>
        <v>#DIV/0!</v>
      </c>
      <c r="BU110" s="204">
        <f>'FY 2016 by Agency'!BL111*Inflator!$E$14</f>
        <v>0</v>
      </c>
      <c r="BV110" s="204">
        <f t="shared" si="116"/>
        <v>-53.341386985047301</v>
      </c>
      <c r="BW110" s="206">
        <v>0</v>
      </c>
      <c r="BX110" s="206">
        <f>'FY 2016 by Agency'!BW111*Inflator!E15</f>
        <v>9.5065963060686016</v>
      </c>
      <c r="BY110" s="204">
        <f>'FY 2016 by Agency'!BZ111*Inflator!$E$15</f>
        <v>0</v>
      </c>
      <c r="BZ110" s="206">
        <f t="shared" si="82"/>
        <v>0</v>
      </c>
      <c r="CA110" s="199" t="e">
        <f t="shared" si="83"/>
        <v>#DIV/0!</v>
      </c>
      <c r="CB110" s="308">
        <f>'FY 2016 by Agency'!CF111*Inflator!$E$16</f>
        <v>0</v>
      </c>
      <c r="CC110" s="206">
        <f t="shared" si="105"/>
        <v>0</v>
      </c>
      <c r="CD110" s="304" t="e">
        <f t="shared" si="106"/>
        <v>#DIV/0!</v>
      </c>
      <c r="CE110" s="206">
        <f>'FY 2016 by Agency'!CK111*Inflator!$E$17</f>
        <v>0</v>
      </c>
      <c r="CF110" s="206">
        <f t="shared" si="117"/>
        <v>0</v>
      </c>
      <c r="CG110" s="562" t="e">
        <f t="shared" si="118"/>
        <v>#DIV/0!</v>
      </c>
      <c r="CH110" s="753">
        <f>'FY 2016 by Agency'!CN111*Inflator!$E$18</f>
        <v>0</v>
      </c>
      <c r="CI110" s="753">
        <f t="shared" si="119"/>
        <v>0</v>
      </c>
      <c r="CJ110" s="304" t="e">
        <f t="shared" si="120"/>
        <v>#DIV/0!</v>
      </c>
    </row>
    <row r="111" spans="1:88" s="317" customFormat="1" ht="18" customHeight="1" x14ac:dyDescent="0.25">
      <c r="A111" s="68" t="s">
        <v>224</v>
      </c>
      <c r="B111" s="310" t="s">
        <v>132</v>
      </c>
      <c r="C111" s="310" t="s">
        <v>132</v>
      </c>
      <c r="D111" s="310" t="s">
        <v>132</v>
      </c>
      <c r="E111" s="310" t="s">
        <v>132</v>
      </c>
      <c r="F111" s="310" t="s">
        <v>132</v>
      </c>
      <c r="G111" s="310" t="s">
        <v>132</v>
      </c>
      <c r="H111" s="310" t="s">
        <v>132</v>
      </c>
      <c r="I111" s="310" t="s">
        <v>132</v>
      </c>
      <c r="J111" s="310" t="s">
        <v>132</v>
      </c>
      <c r="K111" s="310" t="s">
        <v>132</v>
      </c>
      <c r="L111" s="204">
        <f>'FY 2016 by Agency'!L112*Inflator!$E$6</f>
        <v>0</v>
      </c>
      <c r="M111" s="310" t="s">
        <v>132</v>
      </c>
      <c r="N111" s="310" t="s">
        <v>132</v>
      </c>
      <c r="O111" s="204">
        <f>'FY 2016 by Agency'!O112*Inflator!$E$7</f>
        <v>30744.078141499467</v>
      </c>
      <c r="P111" s="315">
        <f t="shared" si="107"/>
        <v>30744.078141499467</v>
      </c>
      <c r="Q111" s="395" t="s">
        <v>132</v>
      </c>
      <c r="R111" s="204">
        <f>'FY 2016 by Agency'!R112*Inflator!$E$8</f>
        <v>34913.387983706722</v>
      </c>
      <c r="S111" s="315">
        <f t="shared" si="90"/>
        <v>4169.3098422072544</v>
      </c>
      <c r="T111" s="316">
        <f>S111/O111</f>
        <v>0.13561342847939778</v>
      </c>
      <c r="U111" s="204">
        <f>'FY 2016 by Agency'!U112*Inflator!$E$9</f>
        <v>38303.378315649861</v>
      </c>
      <c r="V111" s="315">
        <f t="shared" si="108"/>
        <v>3389.9903319431396</v>
      </c>
      <c r="W111" s="316">
        <f t="shared" si="109"/>
        <v>9.7097146043952268E-2</v>
      </c>
      <c r="X111" s="204">
        <f>'FY 2016 by Agency'!X112*Inflator!$E$10</f>
        <v>46428.241981581457</v>
      </c>
      <c r="Y111" s="206">
        <f t="shared" si="110"/>
        <v>8124.8636659315962</v>
      </c>
      <c r="Z111" s="316">
        <f>Y111/U111</f>
        <v>0.21211872224367131</v>
      </c>
      <c r="AA111" s="204">
        <f>'FY 2016 by Agency'!AA112*Inflator!$E$11</f>
        <v>54089.764893278123</v>
      </c>
      <c r="AB111" s="206">
        <f t="shared" si="93"/>
        <v>7661.5229116966657</v>
      </c>
      <c r="AC111" s="304">
        <f t="shared" si="94"/>
        <v>0.1650185874954315</v>
      </c>
      <c r="AD111" s="204" t="e">
        <f>'FY 2016 by Agency'!AD112*Inflator!#REF!</f>
        <v>#REF!</v>
      </c>
      <c r="AE111" s="204">
        <f>'FY 2016 by Agency'!AE112*Inflator!$B$8</f>
        <v>0</v>
      </c>
      <c r="AF111" s="204">
        <f>'FY 2016 by Agency'!AF112*Inflator!$E$12</f>
        <v>42783.367481203015</v>
      </c>
      <c r="AG111" s="204">
        <f t="shared" si="95"/>
        <v>-11306.397412075108</v>
      </c>
      <c r="AH111" s="304">
        <f t="shared" si="96"/>
        <v>-0.20903025617477186</v>
      </c>
      <c r="AI111" s="204">
        <f>'FY 2016 by Agency'!AI112*Inflator!$B$8</f>
        <v>0</v>
      </c>
      <c r="AJ111" s="204">
        <f>'FY 2016 by Agency'!AJ112*Inflator!$B$8</f>
        <v>0</v>
      </c>
      <c r="AK111" s="204">
        <f>'FY 2016 by Agency'!AK112</f>
        <v>33477</v>
      </c>
      <c r="AL111" s="204">
        <f>'FY 2016 by Agency'!AL112</f>
        <v>0</v>
      </c>
      <c r="AM111" s="204">
        <f>'FY 2016 by Agency'!AM112</f>
        <v>33477</v>
      </c>
      <c r="AN111" s="204">
        <f>'FY 2016 by Agency'!AN112</f>
        <v>24758</v>
      </c>
      <c r="AO111" s="204">
        <f>'FY 2016 by Agency'!AO112</f>
        <v>51331</v>
      </c>
      <c r="AP111" s="204">
        <f>'FY 2016 by Agency'!AP112</f>
        <v>5427</v>
      </c>
      <c r="AQ111" s="204">
        <f>'FY 2016 by Agency'!AQ112</f>
        <v>293</v>
      </c>
      <c r="AR111" s="204">
        <f>'FY 2016 by Agency'!AR112</f>
        <v>5720</v>
      </c>
      <c r="AS111" s="204">
        <f>'FY 2016 by Agency'!AS112</f>
        <v>46191.857759999999</v>
      </c>
      <c r="AT111" s="204" t="e">
        <f t="shared" si="97"/>
        <v>#REF!</v>
      </c>
      <c r="AU111" s="304" t="e">
        <f t="shared" si="98"/>
        <v>#REF!</v>
      </c>
      <c r="AV111" s="204">
        <f t="shared" si="99"/>
        <v>3408.4902787969841</v>
      </c>
      <c r="AW111" s="304">
        <f t="shared" si="100"/>
        <v>7.9668583364657153E-2</v>
      </c>
      <c r="AX111" s="410" t="s">
        <v>427</v>
      </c>
      <c r="AY111" s="207">
        <v>50894.818370000001</v>
      </c>
      <c r="AZ111" s="207">
        <f t="shared" si="101"/>
        <v>-436.18162999999913</v>
      </c>
      <c r="BA111" s="207">
        <f t="shared" si="102"/>
        <v>2972.3086487969849</v>
      </c>
      <c r="BB111" s="207">
        <f t="shared" si="103"/>
        <v>45755.67613</v>
      </c>
      <c r="BC111" s="304">
        <f t="shared" si="104"/>
        <v>6.9473461856476737E-2</v>
      </c>
      <c r="BD111" s="306">
        <v>21.532</v>
      </c>
      <c r="BE111" s="199">
        <f t="shared" si="111"/>
        <v>4.2306860874253671E-4</v>
      </c>
      <c r="BI111" s="318">
        <v>45558</v>
      </c>
      <c r="BJ111" s="207">
        <f t="shared" si="112"/>
        <v>-5336.8183700000009</v>
      </c>
      <c r="BK111" s="206">
        <f t="shared" si="113"/>
        <v>51278</v>
      </c>
      <c r="BL111" s="307">
        <f>'FY 2016 by Agency'!BB112*Inflator!$E$13</f>
        <v>44498.048065083916</v>
      </c>
      <c r="BM111" s="204">
        <f t="shared" si="114"/>
        <v>1714.6805838809014</v>
      </c>
      <c r="BN111" s="199">
        <f t="shared" si="115"/>
        <v>4.0078205265965818E-2</v>
      </c>
      <c r="BO111" s="204">
        <f>'FY 2016 by Agency'!AX112*Inflator!$E$13</f>
        <v>50090.166005492829</v>
      </c>
      <c r="BP111" s="204">
        <f t="shared" si="84"/>
        <v>7306.7985242898139</v>
      </c>
      <c r="BQ111" s="199">
        <f t="shared" si="85"/>
        <v>0.17078596086434933</v>
      </c>
      <c r="BR111" s="204">
        <f>'FY 2016 by Agency'!BE112*Inflator!$E$14</f>
        <v>37374.146603098925</v>
      </c>
      <c r="BS111" s="204">
        <f t="shared" si="86"/>
        <v>-12716.019402393904</v>
      </c>
      <c r="BT111" s="199">
        <f t="shared" si="87"/>
        <v>-0.25386259252962906</v>
      </c>
      <c r="BU111" s="315">
        <f>'FY 2016 by Agency'!BL112*Inflator!$E$14</f>
        <v>43546.270262216924</v>
      </c>
      <c r="BV111" s="204">
        <f t="shared" si="116"/>
        <v>-951.77780286699272</v>
      </c>
      <c r="BW111" s="309">
        <v>43746</v>
      </c>
      <c r="BX111" s="206">
        <f>'FY 2016 by Agency'!BW112*Inflator!E15</f>
        <v>52233.465259454701</v>
      </c>
      <c r="BY111" s="204">
        <f>'FY 2016 by Agency'!BZ112*Inflator!$E$15</f>
        <v>38892.541776605096</v>
      </c>
      <c r="BZ111" s="206">
        <f t="shared" si="82"/>
        <v>6371.853396901075</v>
      </c>
      <c r="CA111" s="199">
        <f t="shared" si="83"/>
        <v>0.17048826464368674</v>
      </c>
      <c r="CB111" s="308">
        <f>'FY 2016 by Agency'!CF112*Inflator!$E$16</f>
        <v>39319.831360092401</v>
      </c>
      <c r="CC111" s="206">
        <f t="shared" si="105"/>
        <v>427.28958348730521</v>
      </c>
      <c r="CD111" s="304">
        <f t="shared" si="106"/>
        <v>1.0986414463256586E-2</v>
      </c>
      <c r="CE111" s="206">
        <f>'FY 2016 by Agency'!CK112*Inflator!$E$17</f>
        <v>44392.758005100601</v>
      </c>
      <c r="CF111" s="206">
        <f t="shared" si="117"/>
        <v>5072.9266450081996</v>
      </c>
      <c r="CG111" s="562">
        <f t="shared" si="118"/>
        <v>0.12901699904432851</v>
      </c>
      <c r="CH111" s="753">
        <f>'FY 2016 by Agency'!CN112*Inflator!$E$18</f>
        <v>45168</v>
      </c>
      <c r="CI111" s="753">
        <f t="shared" si="119"/>
        <v>775.24199489939929</v>
      </c>
      <c r="CJ111" s="304">
        <f t="shared" si="120"/>
        <v>1.7463253686791125E-2</v>
      </c>
    </row>
    <row r="112" spans="1:88" ht="18" customHeight="1" thickBot="1" x14ac:dyDescent="0.3">
      <c r="A112" s="317" t="s">
        <v>225</v>
      </c>
      <c r="B112" s="310" t="s">
        <v>132</v>
      </c>
      <c r="C112" s="310" t="s">
        <v>132</v>
      </c>
      <c r="D112" s="310" t="s">
        <v>132</v>
      </c>
      <c r="E112" s="310" t="s">
        <v>132</v>
      </c>
      <c r="F112" s="310" t="s">
        <v>132</v>
      </c>
      <c r="G112" s="310" t="s">
        <v>132</v>
      </c>
      <c r="H112" s="310" t="s">
        <v>132</v>
      </c>
      <c r="I112" s="310" t="s">
        <v>132</v>
      </c>
      <c r="J112" s="310" t="s">
        <v>132</v>
      </c>
      <c r="K112" s="310" t="s">
        <v>132</v>
      </c>
      <c r="L112" s="310" t="s">
        <v>132</v>
      </c>
      <c r="M112" s="310" t="s">
        <v>132</v>
      </c>
      <c r="N112" s="310" t="s">
        <v>132</v>
      </c>
      <c r="O112" s="204"/>
      <c r="P112" s="315"/>
      <c r="Q112" s="395"/>
      <c r="R112" s="204"/>
      <c r="S112" s="315"/>
      <c r="T112" s="316"/>
      <c r="U112" s="204"/>
      <c r="V112" s="315"/>
      <c r="W112" s="316"/>
      <c r="X112" s="204">
        <f>'FY 2016 by Agency'!X113*Inflator!$E$10</f>
        <v>0</v>
      </c>
      <c r="Y112" s="206">
        <f t="shared" si="110"/>
        <v>0</v>
      </c>
      <c r="Z112" s="316"/>
      <c r="AA112" s="204">
        <f>'FY 2016 by Agency'!AA113*Inflator!$E$11</f>
        <v>0</v>
      </c>
      <c r="AB112" s="206">
        <f t="shared" si="93"/>
        <v>0</v>
      </c>
      <c r="AC112" s="304"/>
      <c r="AD112" s="204" t="e">
        <f>'FY 2016 by Agency'!AD113*Inflator!#REF!</f>
        <v>#REF!</v>
      </c>
      <c r="AE112" s="204">
        <f>'FY 2016 by Agency'!AE113*Inflator!$B$8</f>
        <v>0</v>
      </c>
      <c r="AF112" s="204">
        <f>'FY 2016 by Agency'!AF113*Inflator!$E$12</f>
        <v>0</v>
      </c>
      <c r="AG112" s="204">
        <f t="shared" si="95"/>
        <v>0</v>
      </c>
      <c r="AH112" s="304" t="e">
        <f t="shared" si="96"/>
        <v>#DIV/0!</v>
      </c>
      <c r="AI112" s="204">
        <f>'FY 2016 by Agency'!AI113*Inflator!$B$8</f>
        <v>0</v>
      </c>
      <c r="AJ112" s="204">
        <f>'FY 2016 by Agency'!AJ113*Inflator!$B$8</f>
        <v>0</v>
      </c>
      <c r="AK112" s="204">
        <f>'FY 2016 by Agency'!AK113</f>
        <v>0</v>
      </c>
      <c r="AL112" s="204">
        <f>'FY 2016 by Agency'!AL113</f>
        <v>225</v>
      </c>
      <c r="AM112" s="204">
        <f>'FY 2016 by Agency'!AM113</f>
        <v>225</v>
      </c>
      <c r="AN112" s="204">
        <f>'FY 2016 by Agency'!AN113</f>
        <v>0</v>
      </c>
      <c r="AO112" s="204">
        <f>'FY 2016 by Agency'!AO113</f>
        <v>0</v>
      </c>
      <c r="AP112" s="204">
        <f>'FY 2016 by Agency'!AP113</f>
        <v>0</v>
      </c>
      <c r="AQ112" s="204">
        <f>'FY 2016 by Agency'!AQ113</f>
        <v>0</v>
      </c>
      <c r="AR112" s="204">
        <f>'FY 2016 by Agency'!AR113</f>
        <v>0</v>
      </c>
      <c r="AS112" s="204">
        <f>'FY 2016 by Agency'!AS113</f>
        <v>0</v>
      </c>
      <c r="AT112" s="204" t="e">
        <f t="shared" si="97"/>
        <v>#REF!</v>
      </c>
      <c r="AU112" s="304" t="e">
        <f t="shared" si="98"/>
        <v>#REF!</v>
      </c>
      <c r="AV112" s="204">
        <f t="shared" si="99"/>
        <v>0</v>
      </c>
      <c r="AW112" s="304" t="e">
        <f t="shared" si="100"/>
        <v>#DIV/0!</v>
      </c>
      <c r="AX112" s="410" t="s">
        <v>428</v>
      </c>
      <c r="AY112" s="329">
        <v>250</v>
      </c>
      <c r="AZ112" s="207">
        <f t="shared" si="101"/>
        <v>250</v>
      </c>
      <c r="BA112" s="207">
        <f t="shared" si="102"/>
        <v>250</v>
      </c>
      <c r="BB112" s="207">
        <f t="shared" si="103"/>
        <v>250</v>
      </c>
      <c r="BC112" s="304" t="e">
        <f t="shared" si="104"/>
        <v>#DIV/0!</v>
      </c>
      <c r="BD112" s="359"/>
      <c r="BI112" s="319">
        <v>250</v>
      </c>
      <c r="BJ112" s="207">
        <f t="shared" si="112"/>
        <v>0</v>
      </c>
      <c r="BK112" s="206">
        <f t="shared" si="113"/>
        <v>250</v>
      </c>
      <c r="BL112" s="307">
        <f>'FY 2016 by Agency'!BB113*Inflator!$E$13</f>
        <v>0</v>
      </c>
      <c r="BM112" s="204">
        <f t="shared" si="114"/>
        <v>0</v>
      </c>
      <c r="BN112" s="199" t="e">
        <f t="shared" si="115"/>
        <v>#DIV/0!</v>
      </c>
      <c r="BO112" s="204">
        <f>'FY 2016 by Agency'!AX113*Inflator!$E$13</f>
        <v>0</v>
      </c>
      <c r="BP112" s="204">
        <f t="shared" si="84"/>
        <v>0</v>
      </c>
      <c r="BQ112" s="199" t="e">
        <f t="shared" si="85"/>
        <v>#DIV/0!</v>
      </c>
      <c r="BR112" s="204">
        <f>'FY 2016 by Agency'!BE113*Inflator!$E$14</f>
        <v>0</v>
      </c>
      <c r="BS112" s="204">
        <f t="shared" si="86"/>
        <v>0</v>
      </c>
      <c r="BT112" s="199" t="e">
        <f t="shared" si="87"/>
        <v>#DIV/0!</v>
      </c>
      <c r="BU112" s="204">
        <f>'FY 2016 by Agency'!BL113*Inflator!$E$14</f>
        <v>0</v>
      </c>
      <c r="BV112" s="204">
        <f t="shared" si="116"/>
        <v>0</v>
      </c>
      <c r="BW112" s="206"/>
      <c r="BX112" s="206">
        <f>'FY 2016 by Agency'!BW113*Inflator!E15</f>
        <v>0</v>
      </c>
      <c r="BY112" s="204">
        <f>'FY 2016 by Agency'!BZ113*Inflator!$E$15</f>
        <v>0</v>
      </c>
      <c r="BZ112" s="206">
        <f t="shared" si="82"/>
        <v>0</v>
      </c>
      <c r="CA112" s="199" t="e">
        <f t="shared" si="83"/>
        <v>#DIV/0!</v>
      </c>
      <c r="CB112" s="308">
        <f>'FY 2016 by Agency'!CF113*Inflator!$E$16</f>
        <v>0</v>
      </c>
      <c r="CC112" s="206">
        <f t="shared" si="105"/>
        <v>0</v>
      </c>
      <c r="CD112" s="304" t="e">
        <f t="shared" si="106"/>
        <v>#DIV/0!</v>
      </c>
      <c r="CE112" s="206">
        <f>'FY 2016 by Agency'!CK113*Inflator!$E$17</f>
        <v>0</v>
      </c>
      <c r="CF112" s="206">
        <f t="shared" si="117"/>
        <v>0</v>
      </c>
      <c r="CG112" s="562" t="e">
        <f t="shared" si="118"/>
        <v>#DIV/0!</v>
      </c>
      <c r="CH112" s="753">
        <f>'FY 2016 by Agency'!CN113*Inflator!$E$18</f>
        <v>0</v>
      </c>
      <c r="CI112" s="753">
        <f t="shared" si="119"/>
        <v>0</v>
      </c>
      <c r="CJ112" s="304" t="e">
        <f t="shared" si="120"/>
        <v>#DIV/0!</v>
      </c>
    </row>
    <row r="113" spans="1:251" ht="18" customHeight="1" thickBot="1" x14ac:dyDescent="0.3">
      <c r="A113" s="68" t="s">
        <v>429</v>
      </c>
      <c r="B113" s="310" t="s">
        <v>132</v>
      </c>
      <c r="C113" s="310" t="s">
        <v>132</v>
      </c>
      <c r="D113" s="310" t="s">
        <v>132</v>
      </c>
      <c r="E113" s="310" t="s">
        <v>132</v>
      </c>
      <c r="F113" s="310" t="s">
        <v>132</v>
      </c>
      <c r="G113" s="310" t="s">
        <v>132</v>
      </c>
      <c r="H113" s="310" t="s">
        <v>132</v>
      </c>
      <c r="I113" s="310" t="s">
        <v>132</v>
      </c>
      <c r="J113" s="310" t="s">
        <v>132</v>
      </c>
      <c r="K113" s="310" t="s">
        <v>132</v>
      </c>
      <c r="L113" s="310" t="s">
        <v>132</v>
      </c>
      <c r="M113" s="310" t="s">
        <v>132</v>
      </c>
      <c r="N113" s="310" t="s">
        <v>132</v>
      </c>
      <c r="O113" s="204"/>
      <c r="P113" s="315"/>
      <c r="Q113" s="395"/>
      <c r="R113" s="204"/>
      <c r="S113" s="315"/>
      <c r="T113" s="316"/>
      <c r="U113" s="204"/>
      <c r="V113" s="315"/>
      <c r="W113" s="316"/>
      <c r="X113" s="204">
        <f>'FY 2016 by Agency'!X114*Inflator!$E$10</f>
        <v>10740.349634804701</v>
      </c>
      <c r="Y113" s="206"/>
      <c r="Z113" s="316"/>
      <c r="AA113" s="204">
        <f>'FY 2016 by Agency'!AA114*Inflator!$E$11</f>
        <v>17868.07932462568</v>
      </c>
      <c r="AB113" s="206"/>
      <c r="AC113" s="304"/>
      <c r="AD113" s="204" t="e">
        <f>'FY 2016 by Agency'!AD114*Inflator!#REF!</f>
        <v>#REF!</v>
      </c>
      <c r="AE113" s="204"/>
      <c r="AF113" s="204">
        <f>'FY 2016 by Agency'!AF114*Inflator!$E$12</f>
        <v>5713.7800751879704</v>
      </c>
      <c r="AG113" s="204"/>
      <c r="AH113" s="304"/>
      <c r="AI113" s="204"/>
      <c r="AJ113" s="204"/>
      <c r="AK113" s="204"/>
      <c r="AL113" s="204"/>
      <c r="AM113" s="204"/>
      <c r="AO113" s="204"/>
      <c r="AU113" s="304"/>
      <c r="AV113" s="204"/>
      <c r="AW113" s="304"/>
      <c r="AX113" s="411"/>
      <c r="AY113" s="329"/>
      <c r="AZ113" s="207"/>
      <c r="BA113" s="207"/>
      <c r="BB113" s="207"/>
      <c r="BC113" s="304"/>
      <c r="BD113" s="359"/>
      <c r="BI113" s="319">
        <v>375</v>
      </c>
      <c r="BJ113" s="207">
        <f t="shared" si="112"/>
        <v>375</v>
      </c>
      <c r="BK113" s="206">
        <f t="shared" si="113"/>
        <v>375</v>
      </c>
      <c r="BL113" s="307">
        <f>'FY 2016 by Agency'!BB114*Inflator!$E$13</f>
        <v>325.51017085138841</v>
      </c>
      <c r="BM113" s="204">
        <f t="shared" si="114"/>
        <v>-5388.2699043365819</v>
      </c>
      <c r="BN113" s="199">
        <f t="shared" si="115"/>
        <v>-0.94303067906570071</v>
      </c>
      <c r="BO113" s="204">
        <f>'FY 2016 by Agency'!AX114*Inflator!$E$13</f>
        <v>11359.840097650289</v>
      </c>
      <c r="BP113" s="204">
        <f t="shared" si="84"/>
        <v>5646.0600224623186</v>
      </c>
      <c r="BQ113" s="199">
        <f t="shared" si="85"/>
        <v>0.98814794202182799</v>
      </c>
      <c r="BR113" s="204">
        <f>'FY 2016 by Agency'!BE114*Inflator!$E$14</f>
        <v>10846.575983313467</v>
      </c>
      <c r="BS113" s="204">
        <f t="shared" si="86"/>
        <v>-513.26411433682188</v>
      </c>
      <c r="BT113" s="199">
        <f t="shared" si="87"/>
        <v>-4.5182336188252098E-2</v>
      </c>
      <c r="BU113" s="204">
        <f>'FY 2016 by Agency'!BL114*Inflator!$E$14</f>
        <v>10869.121573301549</v>
      </c>
      <c r="BV113" s="204">
        <f t="shared" si="116"/>
        <v>10543.61140245016</v>
      </c>
      <c r="BW113" s="206">
        <f>11195-2951</f>
        <v>8244</v>
      </c>
      <c r="BX113" s="206">
        <f>'FY 2016 by Agency'!BW114*Inflator!E15</f>
        <v>8708.0422163588391</v>
      </c>
      <c r="BY113" s="204">
        <f>'FY 2016 by Agency'!BZ114*Inflator!$E$15</f>
        <v>12466.316622691293</v>
      </c>
      <c r="BZ113" s="206">
        <f t="shared" si="82"/>
        <v>-2602.5759833134671</v>
      </c>
      <c r="CA113" s="199">
        <f t="shared" si="83"/>
        <v>-0.23994447531804586</v>
      </c>
      <c r="CB113" s="308">
        <f>'FY 2016 by Agency'!CF114*Inflator!$E$16</f>
        <v>19089.76147848686</v>
      </c>
      <c r="CC113" s="206">
        <f t="shared" si="105"/>
        <v>6623.4448557955675</v>
      </c>
      <c r="CD113" s="304">
        <f t="shared" si="106"/>
        <v>0.53130728636713098</v>
      </c>
      <c r="CE113" s="206">
        <f>'FY 2016 by Agency'!CK114*Inflator!$E$17</f>
        <v>22336.762255596488</v>
      </c>
      <c r="CF113" s="206">
        <f t="shared" si="117"/>
        <v>3247.000777109628</v>
      </c>
      <c r="CG113" s="562">
        <f t="shared" si="118"/>
        <v>0.17009121778545133</v>
      </c>
      <c r="CH113" s="753">
        <f>'FY 2016 by Agency'!CN114*Inflator!$E$18</f>
        <v>0</v>
      </c>
      <c r="CI113" s="753">
        <f t="shared" si="119"/>
        <v>-22336.762255596488</v>
      </c>
      <c r="CJ113" s="304">
        <f t="shared" si="120"/>
        <v>-1</v>
      </c>
    </row>
    <row r="114" spans="1:251" ht="18" customHeight="1" thickBot="1" x14ac:dyDescent="0.3">
      <c r="A114" s="68" t="s">
        <v>227</v>
      </c>
      <c r="B114" s="310"/>
      <c r="C114" s="310"/>
      <c r="D114" s="310"/>
      <c r="E114" s="310"/>
      <c r="F114" s="310"/>
      <c r="G114" s="310"/>
      <c r="H114" s="310"/>
      <c r="I114" s="310"/>
      <c r="J114" s="310"/>
      <c r="K114" s="310"/>
      <c r="L114" s="310"/>
      <c r="M114" s="310"/>
      <c r="N114" s="310"/>
      <c r="O114" s="204"/>
      <c r="P114" s="315"/>
      <c r="Q114" s="395"/>
      <c r="R114" s="204"/>
      <c r="S114" s="315"/>
      <c r="T114" s="316"/>
      <c r="U114" s="204"/>
      <c r="V114" s="315"/>
      <c r="W114" s="316"/>
      <c r="X114" s="204"/>
      <c r="Y114" s="206"/>
      <c r="Z114" s="316"/>
      <c r="AA114" s="204"/>
      <c r="AB114" s="206"/>
      <c r="AC114" s="304"/>
      <c r="AD114" s="204"/>
      <c r="AE114" s="204"/>
      <c r="AF114" s="204"/>
      <c r="AG114" s="204"/>
      <c r="AH114" s="304"/>
      <c r="AI114" s="204"/>
      <c r="AJ114" s="204"/>
      <c r="AK114" s="204"/>
      <c r="AL114" s="204"/>
      <c r="AM114" s="204"/>
      <c r="AO114" s="204"/>
      <c r="AU114" s="304"/>
      <c r="AV114" s="204"/>
      <c r="AW114" s="304"/>
      <c r="AX114" s="411"/>
      <c r="AY114" s="329"/>
      <c r="AZ114" s="207"/>
      <c r="BA114" s="207"/>
      <c r="BB114" s="207"/>
      <c r="BC114" s="304"/>
      <c r="BD114" s="359"/>
      <c r="BI114" s="319"/>
      <c r="BJ114" s="207"/>
      <c r="BK114" s="206"/>
      <c r="BL114" s="307">
        <f>'FY 2016 by Agency'!BB115*Inflator!$E$13</f>
        <v>0</v>
      </c>
      <c r="BN114" s="199"/>
      <c r="BO114" s="204"/>
      <c r="BP114" s="204"/>
      <c r="BQ114" s="199"/>
      <c r="BR114" s="204"/>
      <c r="BS114" s="204"/>
      <c r="BT114" s="199"/>
      <c r="BW114" s="206">
        <v>8294</v>
      </c>
      <c r="BX114" s="206"/>
      <c r="BY114" s="204">
        <f>'FY 2016 by Agency'!BZ115*Inflator!$E$15</f>
        <v>7970.7528583992953</v>
      </c>
      <c r="BZ114" s="206">
        <f t="shared" si="82"/>
        <v>8294</v>
      </c>
      <c r="CA114" s="199" t="e">
        <f t="shared" si="83"/>
        <v>#DIV/0!</v>
      </c>
      <c r="CB114" s="308">
        <f>'FY 2016 by Agency'!CF115*Inflator!$E$16</f>
        <v>12335.306959283856</v>
      </c>
      <c r="CC114" s="206">
        <f t="shared" si="105"/>
        <v>4364.5541008845612</v>
      </c>
      <c r="CD114" s="304">
        <f t="shared" si="106"/>
        <v>0.54757112388516094</v>
      </c>
      <c r="CE114" s="206">
        <f>'FY 2016 by Agency'!CK115*Inflator!$E$17</f>
        <v>14775.465004250498</v>
      </c>
      <c r="CF114" s="206">
        <f t="shared" si="117"/>
        <v>2440.1580449666417</v>
      </c>
      <c r="CG114" s="562">
        <f t="shared" si="118"/>
        <v>0.19781899656174495</v>
      </c>
      <c r="CH114" s="753">
        <f>'FY 2016 by Agency'!CN115*Inflator!$E$18</f>
        <v>14614</v>
      </c>
      <c r="CI114" s="753">
        <f t="shared" si="119"/>
        <v>-161.46500425049817</v>
      </c>
      <c r="CJ114" s="304">
        <f t="shared" si="120"/>
        <v>-1.0927913551556522E-2</v>
      </c>
    </row>
    <row r="115" spans="1:251" s="211" customFormat="1" ht="16.5" customHeight="1" thickBot="1" x14ac:dyDescent="0.3">
      <c r="A115" s="325" t="s">
        <v>228</v>
      </c>
      <c r="B115" s="326" t="s">
        <v>132</v>
      </c>
      <c r="C115" s="326" t="s">
        <v>132</v>
      </c>
      <c r="D115" s="326" t="s">
        <v>132</v>
      </c>
      <c r="E115" s="326" t="s">
        <v>132</v>
      </c>
      <c r="F115" s="326" t="s">
        <v>132</v>
      </c>
      <c r="G115" s="326" t="s">
        <v>132</v>
      </c>
      <c r="H115" s="326" t="s">
        <v>132</v>
      </c>
      <c r="I115" s="326" t="s">
        <v>132</v>
      </c>
      <c r="J115" s="326" t="s">
        <v>132</v>
      </c>
      <c r="K115" s="326" t="s">
        <v>132</v>
      </c>
      <c r="L115" s="326" t="s">
        <v>132</v>
      </c>
      <c r="M115" s="326" t="s">
        <v>132</v>
      </c>
      <c r="N115" s="326" t="s">
        <v>132</v>
      </c>
      <c r="O115" s="327"/>
      <c r="P115" s="327"/>
      <c r="Q115" s="412"/>
      <c r="R115" s="327"/>
      <c r="S115" s="327"/>
      <c r="T115" s="328"/>
      <c r="U115" s="327"/>
      <c r="V115" s="327"/>
      <c r="W115" s="328"/>
      <c r="X115" s="327">
        <f>'FY 2016 by Agency'!X116*Inflator!$E$10</f>
        <v>4316.9637980311209</v>
      </c>
      <c r="Y115" s="333">
        <f t="shared" si="110"/>
        <v>4316.9637980311209</v>
      </c>
      <c r="Z115" s="328"/>
      <c r="AA115" s="327">
        <f>'FY 2016 by Agency'!AA116*Inflator!$E$11</f>
        <v>0</v>
      </c>
      <c r="AB115" s="333">
        <f t="shared" si="93"/>
        <v>-4316.9637980311209</v>
      </c>
      <c r="AC115" s="328">
        <f>AB115/X115</f>
        <v>-1</v>
      </c>
      <c r="AD115" s="327" t="e">
        <f>'FY 2016 by Agency'!AD116*Inflator!#REF!</f>
        <v>#REF!</v>
      </c>
      <c r="AE115" s="327">
        <f>'FY 2016 by Agency'!AE116*Inflator!$B$8</f>
        <v>0</v>
      </c>
      <c r="AF115" s="327">
        <f>'FY 2016 by Agency'!AF116*Inflator!$E$12</f>
        <v>0</v>
      </c>
      <c r="AG115" s="327">
        <f t="shared" si="95"/>
        <v>0</v>
      </c>
      <c r="AH115" s="328" t="e">
        <f t="shared" si="96"/>
        <v>#DIV/0!</v>
      </c>
      <c r="AI115" s="327">
        <f>'FY 2016 by Agency'!AI116*Inflator!$B$8</f>
        <v>0</v>
      </c>
      <c r="AJ115" s="327">
        <f>'FY 2016 by Agency'!AJ116*Inflator!$B$8</f>
        <v>0</v>
      </c>
      <c r="AK115" s="327">
        <f>'FY 2016 by Agency'!AK116</f>
        <v>0</v>
      </c>
      <c r="AL115" s="327">
        <f>'FY 2016 by Agency'!AL116</f>
        <v>0</v>
      </c>
      <c r="AM115" s="327">
        <f>'FY 2016 by Agency'!AM116</f>
        <v>0</v>
      </c>
      <c r="AN115" s="327">
        <f>'FY 2016 by Agency'!AN116</f>
        <v>0</v>
      </c>
      <c r="AO115" s="327">
        <f>'FY 2016 by Agency'!AO116</f>
        <v>0</v>
      </c>
      <c r="AP115" s="327">
        <f>'FY 2016 by Agency'!AP116</f>
        <v>0</v>
      </c>
      <c r="AQ115" s="327">
        <f>'FY 2016 by Agency'!AQ116</f>
        <v>0</v>
      </c>
      <c r="AR115" s="327">
        <f>'FY 2016 by Agency'!AR116</f>
        <v>0</v>
      </c>
      <c r="AS115" s="327">
        <f>'FY 2016 by Agency'!AS116</f>
        <v>20444.884999999998</v>
      </c>
      <c r="AT115" s="327" t="e">
        <f t="shared" si="97"/>
        <v>#REF!</v>
      </c>
      <c r="AU115" s="328" t="e">
        <f t="shared" si="98"/>
        <v>#REF!</v>
      </c>
      <c r="AV115" s="327">
        <f t="shared" si="99"/>
        <v>20444.884999999998</v>
      </c>
      <c r="AW115" s="328" t="e">
        <f t="shared" si="100"/>
        <v>#DIV/0!</v>
      </c>
      <c r="AZ115" s="328"/>
      <c r="BA115" s="328"/>
      <c r="BB115" s="328"/>
      <c r="BC115" s="328"/>
      <c r="BD115" s="400"/>
      <c r="BE115" s="329"/>
      <c r="BI115" s="331"/>
      <c r="BJ115" s="329">
        <f t="shared" si="112"/>
        <v>0</v>
      </c>
      <c r="BK115" s="333">
        <f t="shared" si="113"/>
        <v>0</v>
      </c>
      <c r="BL115" s="332">
        <f>'FY 2016 by Agency'!BB116*Inflator!$E$13</f>
        <v>22478.767364967956</v>
      </c>
      <c r="BM115" s="327">
        <f t="shared" si="114"/>
        <v>22478.767364967956</v>
      </c>
      <c r="BN115" s="212" t="e">
        <f t="shared" si="115"/>
        <v>#DIV/0!</v>
      </c>
      <c r="BO115" s="327">
        <f>'FY 2016 by Agency'!AX116*Inflator!$E$13</f>
        <v>0</v>
      </c>
      <c r="BP115" s="327">
        <f t="shared" si="84"/>
        <v>0</v>
      </c>
      <c r="BQ115" s="212" t="e">
        <f t="shared" si="85"/>
        <v>#DIV/0!</v>
      </c>
      <c r="BR115" s="327">
        <f>'FY 2016 by Agency'!BE116*Inflator!$E$14</f>
        <v>0</v>
      </c>
      <c r="BS115" s="327">
        <f t="shared" si="86"/>
        <v>0</v>
      </c>
      <c r="BT115" s="212" t="e">
        <f t="shared" si="87"/>
        <v>#DIV/0!</v>
      </c>
      <c r="BU115" s="327">
        <f>'FY 2016 by Agency'!BL116*Inflator!$E$14</f>
        <v>0</v>
      </c>
      <c r="BV115" s="327">
        <f t="shared" si="116"/>
        <v>-22478.767364967956</v>
      </c>
      <c r="BW115" s="333"/>
      <c r="BX115" s="333">
        <f>'FY 2016 by Agency'!BW116*Inflator!E$15</f>
        <v>0</v>
      </c>
      <c r="BY115" s="327">
        <f>'FY 2016 by Agency'!BZ116*Inflator!$E$15</f>
        <v>0</v>
      </c>
      <c r="BZ115" s="333">
        <f t="shared" si="82"/>
        <v>0</v>
      </c>
      <c r="CA115" s="212" t="e">
        <f t="shared" si="83"/>
        <v>#DIV/0!</v>
      </c>
      <c r="CB115" s="308">
        <f>'FY 2016 by Agency'!CF116*Inflator!$E$16</f>
        <v>0</v>
      </c>
      <c r="CC115" s="333">
        <f t="shared" si="105"/>
        <v>0</v>
      </c>
      <c r="CD115" s="328" t="e">
        <f t="shared" si="106"/>
        <v>#DIV/0!</v>
      </c>
      <c r="CE115" s="206">
        <f>'FY 2016 by Agency'!CK116*Inflator!$E$17</f>
        <v>0</v>
      </c>
      <c r="CF115" s="333">
        <f t="shared" si="117"/>
        <v>0</v>
      </c>
      <c r="CG115" s="675" t="e">
        <f t="shared" si="118"/>
        <v>#DIV/0!</v>
      </c>
      <c r="CH115" s="753">
        <f>'FY 2016 by Agency'!CN116*Inflator!$E$18</f>
        <v>0</v>
      </c>
      <c r="CI115" s="753">
        <f t="shared" si="119"/>
        <v>0</v>
      </c>
      <c r="CJ115" s="304" t="e">
        <f t="shared" si="120"/>
        <v>#DIV/0!</v>
      </c>
    </row>
    <row r="116" spans="1:251" s="65" customFormat="1" ht="18" customHeight="1" x14ac:dyDescent="0.25">
      <c r="A116" s="363" t="s">
        <v>229</v>
      </c>
      <c r="B116" s="336">
        <f>'FY 2016 by Agency'!B117*Inflator!$E$2</f>
        <v>1015314.769138756</v>
      </c>
      <c r="C116" s="336">
        <f>'FY 2016 by Agency'!C117*Inflator!$E$3</f>
        <v>998745.19590417319</v>
      </c>
      <c r="D116" s="336">
        <f>C116-B116</f>
        <v>-16569.573234582786</v>
      </c>
      <c r="E116" s="337">
        <f>(C116-B116)/B116</f>
        <v>-1.6319641689678147E-2</v>
      </c>
      <c r="F116" s="338">
        <f>'FY 2016 by Agency'!F117*Inflator!$E$4</f>
        <v>872510.2702702703</v>
      </c>
      <c r="G116" s="338">
        <f>F116-C116</f>
        <v>-126234.92563390289</v>
      </c>
      <c r="H116" s="339">
        <f>(F116-C116)/C116</f>
        <v>-0.12639352474644072</v>
      </c>
      <c r="I116" s="338">
        <f>'FY 2016 by Agency'!I117*Inflator!$E$5</f>
        <v>883638.09483079216</v>
      </c>
      <c r="J116" s="338">
        <f>I116-F116</f>
        <v>11127.824560521869</v>
      </c>
      <c r="K116" s="339">
        <f>(I116-F116)/F116</f>
        <v>1.2753803524942915E-2</v>
      </c>
      <c r="L116" s="338">
        <f>'FY 2016 by Agency'!L117*Inflator!$E$6</f>
        <v>977124.17011995637</v>
      </c>
      <c r="M116" s="338">
        <f>L116-I116</f>
        <v>93486.075289164204</v>
      </c>
      <c r="N116" s="339">
        <f>(L116-I116)/I116</f>
        <v>0.10579679151006482</v>
      </c>
      <c r="O116" s="338">
        <f>'FY 2016 by Agency'!O117*Inflator!$E$7</f>
        <v>1021505.667370644</v>
      </c>
      <c r="P116" s="338">
        <f>O116-L116</f>
        <v>44381.49725068768</v>
      </c>
      <c r="Q116" s="342">
        <f>P116/L116</f>
        <v>4.5420529557916062E-2</v>
      </c>
      <c r="R116" s="338">
        <f>'FY 2016 by Agency'!R117*Inflator!$E$8</f>
        <v>1094289.5600814663</v>
      </c>
      <c r="S116" s="338">
        <f t="shared" si="90"/>
        <v>72783.892710822285</v>
      </c>
      <c r="T116" s="342">
        <f>S116/O116</f>
        <v>7.1251579933147166E-2</v>
      </c>
      <c r="U116" s="338">
        <f>'FY 2016 by Agency'!U117*Inflator!$E$9</f>
        <v>1148551.8202917771</v>
      </c>
      <c r="V116" s="338">
        <f>SUM(V92:V115)</f>
        <v>54262.26021031056</v>
      </c>
      <c r="W116" s="342">
        <f>V116/R116</f>
        <v>4.9586747593818689E-2</v>
      </c>
      <c r="X116" s="338">
        <f>'FY 2016 by Agency'!X117*Inflator!$E$10</f>
        <v>1195043.8180374722</v>
      </c>
      <c r="Y116" s="338">
        <f>SUM(Y92:Y115)</f>
        <v>35751.648110890565</v>
      </c>
      <c r="Z116" s="342">
        <f>Y116/U116</f>
        <v>3.1127588219579196E-2</v>
      </c>
      <c r="AA116" s="338">
        <f>'FY 2016 by Agency'!AA117*Inflator!$E$11</f>
        <v>1162999.9620898378</v>
      </c>
      <c r="AB116" s="352">
        <f t="shared" si="93"/>
        <v>-32043.855947634438</v>
      </c>
      <c r="AC116" s="342">
        <f>AB116/X116</f>
        <v>-2.6813959006338008E-2</v>
      </c>
      <c r="AD116" s="338" t="e">
        <f>'FY 2016 by Agency'!AD117*Inflator!#REF!</f>
        <v>#REF!</v>
      </c>
      <c r="AE116" s="336">
        <f>SUM(AE92:AE115)</f>
        <v>0</v>
      </c>
      <c r="AF116" s="338">
        <f>'FY 2016 by Agency'!AF117*Inflator!$E$12</f>
        <v>1135664.0197368423</v>
      </c>
      <c r="AG116" s="338">
        <f t="shared" si="95"/>
        <v>-27335.942352995509</v>
      </c>
      <c r="AH116" s="342">
        <f t="shared" si="96"/>
        <v>-2.350468034743057E-2</v>
      </c>
      <c r="AI116" s="336">
        <f t="shared" ref="AI116:AR116" si="128">SUM(AI92:AI115)</f>
        <v>0</v>
      </c>
      <c r="AJ116" s="336">
        <f t="shared" si="128"/>
        <v>0</v>
      </c>
      <c r="AK116" s="336">
        <f t="shared" si="128"/>
        <v>957625</v>
      </c>
      <c r="AL116" s="336">
        <f t="shared" si="128"/>
        <v>5845</v>
      </c>
      <c r="AM116" s="336">
        <f t="shared" si="128"/>
        <v>963470</v>
      </c>
      <c r="AN116" s="336">
        <f t="shared" si="128"/>
        <v>883558</v>
      </c>
      <c r="AO116" s="336">
        <f t="shared" si="128"/>
        <v>980477</v>
      </c>
      <c r="AP116" s="336">
        <f t="shared" si="128"/>
        <v>35815</v>
      </c>
      <c r="AQ116" s="336">
        <f t="shared" si="128"/>
        <v>1516</v>
      </c>
      <c r="AR116" s="336">
        <f t="shared" si="128"/>
        <v>37331</v>
      </c>
      <c r="AS116" s="338">
        <f>SUM(AS92:AS112)</f>
        <v>1010379.0425700003</v>
      </c>
      <c r="AT116" s="338" t="e">
        <f t="shared" si="97"/>
        <v>#REF!</v>
      </c>
      <c r="AU116" s="352" t="e">
        <f>AT116-AI116</f>
        <v>#REF!</v>
      </c>
      <c r="AV116" s="338">
        <f t="shared" si="99"/>
        <v>-125284.97716684197</v>
      </c>
      <c r="AW116" s="342">
        <f t="shared" si="100"/>
        <v>-0.11031869900736416</v>
      </c>
      <c r="AX116" s="342"/>
      <c r="AY116" s="345">
        <f>SUM(AY92:AY115)</f>
        <v>993780.31923000002</v>
      </c>
      <c r="AZ116" s="345">
        <f>SUM(AZ92:AZ115)</f>
        <v>13303.31923000001</v>
      </c>
      <c r="BA116" s="342"/>
      <c r="BB116" s="346">
        <f>SUM(BB92:BB115)</f>
        <v>1023682.3618000002</v>
      </c>
      <c r="BC116" s="342"/>
      <c r="BD116" s="347">
        <f>SUM(BD92:BD115)</f>
        <v>9926.8009999999995</v>
      </c>
      <c r="BE116" s="339">
        <f>BD116/AY116</f>
        <v>9.9889289492988489E-3</v>
      </c>
      <c r="BF116" s="339">
        <f>(BB116-X116)/X116</f>
        <v>-0.14339345022418143</v>
      </c>
      <c r="BG116" s="363"/>
      <c r="BH116" s="363"/>
      <c r="BI116" s="401">
        <f>SUM(BI92:BI115)</f>
        <v>976195</v>
      </c>
      <c r="BJ116" s="345">
        <f t="shared" si="112"/>
        <v>-17585.319230000023</v>
      </c>
      <c r="BK116" s="352">
        <f>SUM(BK92:BK115)</f>
        <v>1013526</v>
      </c>
      <c r="BL116" s="402">
        <f>SUM(BL92:BL115)</f>
        <v>1092652.3389882788</v>
      </c>
      <c r="BM116" s="338">
        <f t="shared" si="114"/>
        <v>-43011.680748563493</v>
      </c>
      <c r="BN116" s="339">
        <f t="shared" si="115"/>
        <v>-3.7873596416773181E-2</v>
      </c>
      <c r="BO116" s="338">
        <f>'FY 2016 by Agency'!AX117*Inflator!$E$13</f>
        <v>1088645.8452853218</v>
      </c>
      <c r="BP116" s="338">
        <f t="shared" si="84"/>
        <v>-47018.174451520434</v>
      </c>
      <c r="BQ116" s="339">
        <f t="shared" si="85"/>
        <v>-4.1401482863228825E-2</v>
      </c>
      <c r="BR116" s="338">
        <f>'FY 2016 by Agency'!BE117*Inflator!$E$14</f>
        <v>1018809.4451728247</v>
      </c>
      <c r="BS116" s="338">
        <f t="shared" si="86"/>
        <v>-69836.400112497155</v>
      </c>
      <c r="BT116" s="339">
        <f t="shared" si="87"/>
        <v>-6.4149787936033334E-2</v>
      </c>
      <c r="BU116" s="338">
        <f>SUM(BU92:BU115)</f>
        <v>1059915.4237187128</v>
      </c>
      <c r="BV116" s="338">
        <f t="shared" si="116"/>
        <v>-32736.915269566001</v>
      </c>
      <c r="BW116" s="352">
        <f>SUM(BW92:BW115)</f>
        <v>994221</v>
      </c>
      <c r="BX116" s="338">
        <f>SUM(BX92:BX115)</f>
        <v>1094850.4019349164</v>
      </c>
      <c r="BY116" s="338">
        <f>'FY 2016 by Agency'!BZ117*Inflator!$E$15</f>
        <v>1026230.7335092347</v>
      </c>
      <c r="BZ116" s="352">
        <f t="shared" si="82"/>
        <v>-24588.445172824664</v>
      </c>
      <c r="CA116" s="339">
        <f t="shared" si="83"/>
        <v>-2.4134488828432121E-2</v>
      </c>
      <c r="CB116" s="674">
        <f>'FY 2016 by Agency'!CF117*Inflator!$E$16</f>
        <v>1078188.6462604678</v>
      </c>
      <c r="CC116" s="352">
        <f t="shared" si="105"/>
        <v>51957.912751233089</v>
      </c>
      <c r="CD116" s="342">
        <f t="shared" si="106"/>
        <v>5.0629854529459513E-2</v>
      </c>
      <c r="CE116" s="206">
        <f>'FY 2016 by Agency'!CK117*Inflator!$E$17</f>
        <v>1082293.6228393314</v>
      </c>
      <c r="CF116" s="368">
        <f>SUM(CF92:CF115)</f>
        <v>-10641.000608546101</v>
      </c>
      <c r="CG116" s="562">
        <f>CF116/CB116</f>
        <v>-9.8693309797434625E-3</v>
      </c>
      <c r="CH116" s="753">
        <f>'FY 2016 by Agency'!CN117*Inflator!$E$18</f>
        <v>1145178</v>
      </c>
      <c r="CI116" s="753">
        <f t="shared" si="119"/>
        <v>62884.377160668606</v>
      </c>
      <c r="CJ116" s="304">
        <f t="shared" si="120"/>
        <v>5.8102880617272118E-2</v>
      </c>
    </row>
    <row r="117" spans="1:251" s="65" customFormat="1" ht="18" customHeight="1" x14ac:dyDescent="0.25">
      <c r="A117" s="363"/>
      <c r="B117" s="302"/>
      <c r="C117" s="302"/>
      <c r="D117" s="302"/>
      <c r="E117" s="303"/>
      <c r="F117" s="204"/>
      <c r="G117" s="204"/>
      <c r="H117" s="199"/>
      <c r="I117" s="204"/>
      <c r="J117" s="204"/>
      <c r="K117" s="199"/>
      <c r="L117" s="204"/>
      <c r="M117" s="204"/>
      <c r="N117" s="199"/>
      <c r="O117" s="204"/>
      <c r="P117" s="358"/>
      <c r="Q117" s="356"/>
      <c r="R117" s="204"/>
      <c r="S117" s="358"/>
      <c r="T117" s="356"/>
      <c r="U117" s="204"/>
      <c r="V117" s="358"/>
      <c r="W117" s="342"/>
      <c r="X117" s="204"/>
      <c r="Y117" s="358"/>
      <c r="Z117" s="342"/>
      <c r="AA117" s="204"/>
      <c r="AB117" s="368"/>
      <c r="AC117" s="304"/>
      <c r="AD117" s="204"/>
      <c r="AE117" s="364"/>
      <c r="AF117" s="364"/>
      <c r="AG117" s="204"/>
      <c r="AH117" s="304"/>
      <c r="AI117" s="364"/>
      <c r="AJ117" s="364"/>
      <c r="AK117" s="364"/>
      <c r="AL117" s="364"/>
      <c r="AM117" s="364"/>
      <c r="AN117" s="364"/>
      <c r="AO117" s="364"/>
      <c r="AP117" s="364"/>
      <c r="AQ117" s="364"/>
      <c r="AR117" s="204">
        <f>'FY 2016 by Agency'!AR118</f>
        <v>0</v>
      </c>
      <c r="AS117" s="204">
        <f>'FY 2016 by Agency'!AS118</f>
        <v>0</v>
      </c>
      <c r="AT117" s="358"/>
      <c r="AU117" s="368"/>
      <c r="AV117" s="358"/>
      <c r="AW117" s="356"/>
      <c r="AX117" s="304"/>
      <c r="AY117" s="304"/>
      <c r="AZ117" s="304"/>
      <c r="BA117" s="304"/>
      <c r="BB117" s="304"/>
      <c r="BC117" s="304"/>
      <c r="BD117" s="359"/>
      <c r="BE117" s="207"/>
      <c r="BI117" s="365"/>
      <c r="BK117" s="371"/>
      <c r="BL117" s="405"/>
      <c r="BM117" s="204"/>
      <c r="BN117" s="199"/>
      <c r="BP117" s="204"/>
      <c r="BQ117" s="66"/>
      <c r="BR117" s="358"/>
      <c r="BS117" s="204"/>
      <c r="BT117" s="66"/>
      <c r="BU117" s="204"/>
      <c r="BV117" s="204"/>
      <c r="BW117" s="206"/>
      <c r="BX117" s="206"/>
      <c r="BY117" s="413"/>
      <c r="BZ117" s="206"/>
      <c r="CA117" s="199"/>
      <c r="CC117" s="206"/>
      <c r="CD117" s="356"/>
      <c r="CG117" s="624"/>
    </row>
    <row r="118" spans="1:251" s="65" customFormat="1" ht="18" customHeight="1" x14ac:dyDescent="0.25">
      <c r="A118" s="363"/>
      <c r="B118" s="302"/>
      <c r="C118" s="302"/>
      <c r="D118" s="302"/>
      <c r="E118" s="303"/>
      <c r="F118" s="204"/>
      <c r="G118" s="204"/>
      <c r="H118" s="199"/>
      <c r="I118" s="204"/>
      <c r="J118" s="204"/>
      <c r="K118" s="199"/>
      <c r="L118" s="204"/>
      <c r="M118" s="204"/>
      <c r="N118" s="199"/>
      <c r="O118" s="204"/>
      <c r="P118" s="358"/>
      <c r="Q118" s="356"/>
      <c r="R118" s="204"/>
      <c r="S118" s="358"/>
      <c r="T118" s="356"/>
      <c r="U118" s="204"/>
      <c r="V118" s="358"/>
      <c r="W118" s="342"/>
      <c r="X118" s="204"/>
      <c r="Y118" s="358"/>
      <c r="Z118" s="342"/>
      <c r="AA118" s="204"/>
      <c r="AB118" s="368"/>
      <c r="AC118" s="304"/>
      <c r="AD118" s="204"/>
      <c r="AE118" s="364"/>
      <c r="AF118" s="364"/>
      <c r="AG118" s="204"/>
      <c r="AH118" s="304"/>
      <c r="AI118" s="364"/>
      <c r="AJ118" s="364"/>
      <c r="AK118" s="364"/>
      <c r="AL118" s="364"/>
      <c r="AM118" s="364"/>
      <c r="AN118" s="364"/>
      <c r="AO118" s="364"/>
      <c r="AP118" s="364"/>
      <c r="AQ118" s="364"/>
      <c r="AR118" s="204">
        <f>'FY 2016 by Agency'!AR119</f>
        <v>0</v>
      </c>
      <c r="AS118" s="204">
        <f>'FY 2016 by Agency'!AS119</f>
        <v>0</v>
      </c>
      <c r="AT118" s="358" t="e">
        <f>AR118-AD116</f>
        <v>#REF!</v>
      </c>
      <c r="AU118" s="356" t="e">
        <f>AT118/AD116</f>
        <v>#REF!</v>
      </c>
      <c r="AV118" s="358">
        <f>AS118-AF116</f>
        <v>-1135664.0197368423</v>
      </c>
      <c r="AW118" s="356">
        <f>AV118/AF116</f>
        <v>-1</v>
      </c>
      <c r="AX118" s="304"/>
      <c r="AY118" s="200">
        <f>+AZ116+AS118</f>
        <v>13303.31923000001</v>
      </c>
      <c r="AZ118" s="200">
        <f>+AY118-AF116</f>
        <v>-1122360.7005068422</v>
      </c>
      <c r="BA118" s="200"/>
      <c r="BB118" s="304">
        <f>+AZ118/AF116</f>
        <v>-0.98828586712372668</v>
      </c>
      <c r="BC118" s="304"/>
      <c r="BD118" s="359"/>
      <c r="BE118" s="207"/>
      <c r="BI118" s="365"/>
      <c r="BK118" s="371"/>
      <c r="BL118" s="405"/>
      <c r="BM118" s="204"/>
      <c r="BN118" s="199"/>
      <c r="BP118" s="204"/>
      <c r="BQ118" s="66"/>
      <c r="BR118" s="358"/>
      <c r="BS118" s="204"/>
      <c r="BT118" s="199"/>
      <c r="BU118" s="204"/>
      <c r="BV118" s="204"/>
      <c r="BW118" s="206"/>
      <c r="BX118" s="206"/>
      <c r="BY118" s="206"/>
      <c r="BZ118" s="206"/>
      <c r="CA118" s="199"/>
      <c r="CC118" s="206"/>
      <c r="CD118" s="356"/>
      <c r="CG118" s="624"/>
    </row>
    <row r="119" spans="1:251" s="65" customFormat="1" ht="18" customHeight="1" x14ac:dyDescent="0.25">
      <c r="A119" s="363"/>
      <c r="B119" s="302"/>
      <c r="C119" s="302"/>
      <c r="D119" s="302"/>
      <c r="E119" s="303"/>
      <c r="F119" s="204"/>
      <c r="G119" s="204"/>
      <c r="H119" s="199"/>
      <c r="I119" s="204"/>
      <c r="J119" s="204"/>
      <c r="K119" s="199"/>
      <c r="L119" s="204"/>
      <c r="M119" s="204"/>
      <c r="N119" s="199"/>
      <c r="O119" s="204"/>
      <c r="P119" s="358"/>
      <c r="Q119" s="356"/>
      <c r="R119" s="204"/>
      <c r="S119" s="204"/>
      <c r="T119" s="304"/>
      <c r="U119" s="204"/>
      <c r="V119" s="204"/>
      <c r="W119" s="304"/>
      <c r="X119" s="204"/>
      <c r="AA119" s="204"/>
      <c r="AB119" s="66"/>
      <c r="AC119" s="365"/>
      <c r="AD119" s="204"/>
      <c r="AE119" s="403"/>
      <c r="AF119" s="404"/>
      <c r="AG119" s="404"/>
      <c r="AH119" s="404"/>
      <c r="AI119" s="404"/>
      <c r="AM119" s="307"/>
      <c r="AN119" s="374"/>
      <c r="AO119" s="367"/>
      <c r="AP119" s="358"/>
      <c r="AQ119" s="358"/>
      <c r="AR119" s="358"/>
      <c r="AS119" s="204"/>
      <c r="AT119" s="204"/>
      <c r="AU119" s="368"/>
      <c r="AV119" s="367"/>
      <c r="AW119" s="354"/>
      <c r="AY119" s="365"/>
      <c r="BD119" s="369"/>
      <c r="BE119" s="370"/>
      <c r="BI119" s="365"/>
      <c r="BK119" s="371"/>
      <c r="BL119" s="405"/>
      <c r="BM119" s="204"/>
      <c r="BN119" s="199"/>
      <c r="BP119" s="204"/>
      <c r="BQ119" s="66"/>
      <c r="BR119" s="204"/>
      <c r="BS119" s="204"/>
      <c r="BT119" s="66"/>
      <c r="BU119" s="204"/>
      <c r="BV119" s="205"/>
      <c r="BW119" s="206"/>
      <c r="BX119" s="358"/>
      <c r="BY119" s="206"/>
      <c r="BZ119" s="206"/>
      <c r="CA119" s="199"/>
      <c r="CC119" s="206"/>
      <c r="CD119" s="356"/>
      <c r="CG119" s="624"/>
    </row>
    <row r="120" spans="1:251" s="65" customFormat="1" ht="18" customHeight="1" x14ac:dyDescent="0.25">
      <c r="A120" s="373" t="s">
        <v>230</v>
      </c>
      <c r="B120" s="302"/>
      <c r="C120" s="302"/>
      <c r="D120" s="302"/>
      <c r="E120" s="303"/>
      <c r="F120" s="204"/>
      <c r="G120" s="204"/>
      <c r="H120" s="199"/>
      <c r="I120" s="204"/>
      <c r="J120" s="204"/>
      <c r="K120" s="199"/>
      <c r="L120" s="204"/>
      <c r="M120" s="204"/>
      <c r="N120" s="199"/>
      <c r="O120" s="204"/>
      <c r="P120" s="358"/>
      <c r="Q120" s="356"/>
      <c r="R120" s="204"/>
      <c r="S120" s="204"/>
      <c r="T120" s="304"/>
      <c r="U120" s="204"/>
      <c r="V120" s="204"/>
      <c r="W120" s="304"/>
      <c r="X120" s="204"/>
      <c r="AA120" s="204"/>
      <c r="AC120" s="365"/>
      <c r="AD120" s="204"/>
      <c r="AE120" s="403"/>
      <c r="AF120" s="404"/>
      <c r="AG120" s="404"/>
      <c r="AH120" s="404"/>
      <c r="AI120" s="404"/>
      <c r="AM120" s="307"/>
      <c r="AN120" s="374"/>
      <c r="AO120" s="367"/>
      <c r="AP120" s="358"/>
      <c r="AQ120" s="358"/>
      <c r="AR120" s="358"/>
      <c r="AS120" s="204"/>
      <c r="AT120" s="204"/>
      <c r="AU120" s="368"/>
      <c r="AV120" s="367"/>
      <c r="AW120" s="354"/>
      <c r="BD120" s="369"/>
      <c r="BE120" s="370"/>
      <c r="BI120" s="365"/>
      <c r="BK120" s="371"/>
      <c r="BL120" s="405"/>
      <c r="BM120" s="204"/>
      <c r="BN120" s="199"/>
      <c r="BP120" s="204"/>
      <c r="BQ120" s="66"/>
      <c r="BR120" s="204"/>
      <c r="BS120" s="204"/>
      <c r="BT120" s="66"/>
      <c r="BU120" s="204"/>
      <c r="BV120" s="204"/>
      <c r="BW120" s="206"/>
      <c r="BY120" s="206"/>
      <c r="BZ120" s="206"/>
      <c r="CA120" s="199"/>
      <c r="CC120" s="206"/>
      <c r="CD120" s="356"/>
      <c r="CG120" s="624"/>
    </row>
    <row r="121" spans="1:251" s="65" customFormat="1" ht="18" customHeight="1" x14ac:dyDescent="0.25">
      <c r="A121" s="373" t="s">
        <v>232</v>
      </c>
      <c r="B121" s="302"/>
      <c r="C121" s="302"/>
      <c r="D121" s="302"/>
      <c r="E121" s="303"/>
      <c r="F121" s="204"/>
      <c r="G121" s="204"/>
      <c r="H121" s="199"/>
      <c r="I121" s="204"/>
      <c r="J121" s="204"/>
      <c r="K121" s="199"/>
      <c r="L121" s="204"/>
      <c r="M121" s="204"/>
      <c r="N121" s="199"/>
      <c r="O121" s="204"/>
      <c r="P121" s="358"/>
      <c r="Q121" s="356"/>
      <c r="R121" s="204"/>
      <c r="S121" s="204"/>
      <c r="T121" s="304"/>
      <c r="U121" s="204"/>
      <c r="V121" s="204"/>
      <c r="W121" s="304"/>
      <c r="X121" s="204"/>
      <c r="AA121" s="204"/>
      <c r="AC121" s="365"/>
      <c r="AD121" s="204"/>
      <c r="AE121" s="403"/>
      <c r="AF121" s="404"/>
      <c r="AG121" s="404"/>
      <c r="AH121" s="404"/>
      <c r="AI121" s="404"/>
      <c r="AM121" s="307"/>
      <c r="AN121" s="374"/>
      <c r="AO121" s="367"/>
      <c r="AP121" s="358"/>
      <c r="AQ121" s="358"/>
      <c r="AR121" s="356"/>
      <c r="AS121" s="204"/>
      <c r="AT121" s="204"/>
      <c r="AU121" s="368"/>
      <c r="AV121" s="367"/>
      <c r="AW121" s="354"/>
      <c r="BD121" s="369"/>
      <c r="BE121" s="370"/>
      <c r="BI121" s="365"/>
      <c r="BK121" s="371"/>
      <c r="BL121" s="405"/>
      <c r="BM121" s="204"/>
      <c r="BN121" s="199"/>
      <c r="BP121" s="204"/>
      <c r="BQ121" s="66"/>
      <c r="BR121" s="204"/>
      <c r="BS121" s="204"/>
      <c r="BT121" s="66"/>
      <c r="BU121" s="204"/>
      <c r="BV121" s="204"/>
      <c r="BW121" s="206"/>
      <c r="BY121" s="206"/>
      <c r="BZ121" s="206"/>
      <c r="CA121" s="199"/>
      <c r="CC121" s="206"/>
      <c r="CD121" s="356"/>
      <c r="CG121" s="624"/>
    </row>
    <row r="122" spans="1:251" s="65" customFormat="1" ht="18" customHeight="1" x14ac:dyDescent="0.25">
      <c r="A122" s="373" t="s">
        <v>233</v>
      </c>
      <c r="B122" s="302"/>
      <c r="C122" s="302"/>
      <c r="D122" s="302"/>
      <c r="E122" s="303"/>
      <c r="F122" s="204"/>
      <c r="G122" s="204"/>
      <c r="H122" s="199"/>
      <c r="I122" s="204"/>
      <c r="J122" s="204"/>
      <c r="K122" s="199"/>
      <c r="L122" s="204"/>
      <c r="M122" s="204"/>
      <c r="N122" s="199"/>
      <c r="O122" s="204"/>
      <c r="P122" s="358"/>
      <c r="Q122" s="356"/>
      <c r="R122" s="204"/>
      <c r="S122" s="204"/>
      <c r="T122" s="304"/>
      <c r="U122" s="204"/>
      <c r="V122" s="204"/>
      <c r="W122" s="304"/>
      <c r="X122" s="204"/>
      <c r="AA122" s="204"/>
      <c r="AC122" s="365"/>
      <c r="AD122" s="204"/>
      <c r="AE122" s="403"/>
      <c r="AF122" s="404"/>
      <c r="AG122" s="404"/>
      <c r="AH122" s="404"/>
      <c r="AI122" s="404"/>
      <c r="AM122" s="307"/>
      <c r="AN122" s="374"/>
      <c r="AO122" s="367"/>
      <c r="AP122" s="358"/>
      <c r="AQ122" s="358"/>
      <c r="AR122" s="358"/>
      <c r="AS122" s="204"/>
      <c r="AT122" s="204"/>
      <c r="AU122" s="368"/>
      <c r="AV122" s="367"/>
      <c r="AW122" s="354"/>
      <c r="BD122" s="369"/>
      <c r="BE122" s="370"/>
      <c r="BI122" s="365"/>
      <c r="BK122" s="371"/>
      <c r="BL122" s="405"/>
      <c r="BM122" s="204"/>
      <c r="BN122" s="199"/>
      <c r="BP122" s="204"/>
      <c r="BQ122" s="66"/>
      <c r="BR122" s="204"/>
      <c r="BS122" s="204"/>
      <c r="BT122" s="66"/>
      <c r="BU122" s="204"/>
      <c r="BV122" s="204"/>
      <c r="BW122" s="206"/>
      <c r="BY122" s="206"/>
      <c r="BZ122" s="206"/>
      <c r="CA122" s="199"/>
      <c r="CC122" s="206"/>
      <c r="CD122" s="356"/>
      <c r="CG122" s="624"/>
    </row>
    <row r="123" spans="1:251" s="65" customFormat="1" ht="18" customHeight="1" x14ac:dyDescent="0.25">
      <c r="A123" s="414" t="s">
        <v>234</v>
      </c>
      <c r="B123" s="302"/>
      <c r="C123" s="302"/>
      <c r="D123" s="302"/>
      <c r="E123" s="303"/>
      <c r="F123" s="204"/>
      <c r="G123" s="204"/>
      <c r="H123" s="199"/>
      <c r="I123" s="204"/>
      <c r="J123" s="204"/>
      <c r="K123" s="199"/>
      <c r="L123" s="204"/>
      <c r="M123" s="204"/>
      <c r="N123" s="199"/>
      <c r="O123" s="204"/>
      <c r="P123" s="66"/>
      <c r="Q123" s="66"/>
      <c r="R123" s="204"/>
      <c r="S123" s="66"/>
      <c r="T123" s="66"/>
      <c r="U123" s="204"/>
      <c r="V123" s="66"/>
      <c r="W123" s="66"/>
      <c r="X123" s="204"/>
      <c r="Y123" s="66"/>
      <c r="Z123" s="66"/>
      <c r="AA123" s="204"/>
      <c r="AB123" s="66"/>
      <c r="AC123" s="200"/>
      <c r="AD123" s="204"/>
      <c r="AE123" s="201"/>
      <c r="AF123" s="202"/>
      <c r="AG123" s="202"/>
      <c r="AH123" s="202"/>
      <c r="AI123" s="202"/>
      <c r="AJ123" s="66"/>
      <c r="AK123" s="66"/>
      <c r="AL123" s="66"/>
      <c r="AM123" s="307"/>
      <c r="AN123" s="374"/>
      <c r="AO123" s="367"/>
      <c r="AP123" s="204"/>
      <c r="AQ123" s="204"/>
      <c r="AR123" s="204"/>
      <c r="AS123" s="204"/>
      <c r="AT123" s="204"/>
      <c r="AU123" s="368"/>
      <c r="AV123" s="205"/>
      <c r="AW123" s="203"/>
      <c r="AX123" s="66"/>
      <c r="AY123" s="66"/>
      <c r="AZ123" s="66"/>
      <c r="BA123" s="66"/>
      <c r="BB123" s="66"/>
      <c r="BC123" s="66"/>
      <c r="BD123" s="359"/>
      <c r="BE123" s="207"/>
      <c r="BF123" s="66"/>
      <c r="BG123" s="66"/>
      <c r="BH123" s="66"/>
      <c r="BI123" s="200"/>
      <c r="BJ123" s="66"/>
      <c r="BK123" s="208"/>
      <c r="BL123" s="405"/>
      <c r="BM123" s="204"/>
      <c r="BN123" s="199"/>
      <c r="BO123" s="66"/>
      <c r="BP123" s="204"/>
      <c r="BQ123" s="66"/>
      <c r="BR123" s="204"/>
      <c r="BS123" s="204"/>
      <c r="BT123" s="66"/>
      <c r="BU123" s="204"/>
      <c r="BV123" s="204"/>
      <c r="BW123" s="206"/>
      <c r="BX123" s="66"/>
      <c r="BY123" s="206"/>
      <c r="BZ123" s="206"/>
      <c r="CA123" s="199"/>
      <c r="CC123" s="206"/>
      <c r="CD123" s="304"/>
      <c r="CE123" s="66"/>
      <c r="CF123" s="66"/>
      <c r="CG123" s="562"/>
      <c r="CH123" s="66"/>
      <c r="CI123" s="66"/>
      <c r="CJ123" s="66"/>
      <c r="CK123" s="66"/>
      <c r="CL123" s="66"/>
      <c r="CM123" s="66"/>
      <c r="CN123" s="66"/>
      <c r="CO123" s="66"/>
      <c r="CP123" s="66"/>
      <c r="CQ123" s="66"/>
      <c r="CR123" s="66"/>
      <c r="CS123" s="66"/>
      <c r="CT123" s="66"/>
      <c r="CU123" s="66"/>
      <c r="CV123" s="66"/>
      <c r="CW123" s="66"/>
      <c r="CX123" s="66"/>
      <c r="CY123" s="66"/>
      <c r="CZ123" s="66"/>
      <c r="DA123" s="66"/>
      <c r="DB123" s="66"/>
      <c r="DC123" s="66"/>
      <c r="DD123" s="66"/>
      <c r="DE123" s="66"/>
      <c r="DF123" s="66"/>
      <c r="DG123" s="66"/>
      <c r="DH123" s="66"/>
      <c r="DI123" s="66"/>
      <c r="DJ123" s="66"/>
      <c r="DK123" s="66"/>
      <c r="DL123" s="66"/>
      <c r="DM123" s="66"/>
      <c r="DN123" s="66"/>
      <c r="DO123" s="66"/>
      <c r="DP123" s="66"/>
      <c r="DQ123" s="66"/>
      <c r="DR123" s="66"/>
      <c r="DS123" s="66"/>
      <c r="DT123" s="66"/>
      <c r="DU123" s="66"/>
      <c r="DV123" s="66"/>
      <c r="DW123" s="66"/>
      <c r="DX123" s="66"/>
      <c r="DY123" s="66"/>
      <c r="DZ123" s="66"/>
      <c r="EA123" s="66"/>
      <c r="EB123" s="66"/>
      <c r="EC123" s="66"/>
      <c r="ED123" s="66"/>
      <c r="EE123" s="66"/>
      <c r="EF123" s="66"/>
      <c r="EG123" s="66"/>
      <c r="EH123" s="66"/>
      <c r="EI123" s="66"/>
      <c r="EJ123" s="66"/>
      <c r="EK123" s="66"/>
      <c r="EL123" s="66"/>
      <c r="EM123" s="66"/>
      <c r="EN123" s="66"/>
      <c r="EO123" s="66"/>
      <c r="EP123" s="66"/>
      <c r="EQ123" s="66"/>
      <c r="ER123" s="66"/>
      <c r="ES123" s="66"/>
      <c r="ET123" s="66"/>
      <c r="EU123" s="66"/>
      <c r="EV123" s="66"/>
      <c r="EW123" s="66"/>
      <c r="EX123" s="66"/>
      <c r="EY123" s="66"/>
      <c r="EZ123" s="66"/>
      <c r="FA123" s="66"/>
      <c r="FB123" s="66"/>
      <c r="FC123" s="66"/>
      <c r="FD123" s="66"/>
      <c r="FE123" s="66"/>
      <c r="FF123" s="66"/>
      <c r="FG123" s="66"/>
      <c r="FH123" s="66"/>
      <c r="FI123" s="66"/>
      <c r="FJ123" s="66"/>
      <c r="FK123" s="66"/>
      <c r="FL123" s="66"/>
      <c r="FM123" s="66"/>
      <c r="FN123" s="66"/>
      <c r="FO123" s="66"/>
      <c r="FP123" s="66"/>
      <c r="FQ123" s="66"/>
      <c r="FR123" s="66"/>
      <c r="FS123" s="66"/>
      <c r="FT123" s="66"/>
      <c r="FU123" s="66"/>
      <c r="FV123" s="66"/>
      <c r="FW123" s="66"/>
      <c r="FX123" s="66"/>
      <c r="FY123" s="66"/>
      <c r="FZ123" s="66"/>
      <c r="GA123" s="66"/>
      <c r="GB123" s="66"/>
      <c r="GC123" s="66"/>
      <c r="GD123" s="66"/>
      <c r="GE123" s="66"/>
      <c r="GF123" s="66"/>
      <c r="GG123" s="66"/>
      <c r="GH123" s="66"/>
      <c r="GI123" s="66"/>
      <c r="GJ123" s="66"/>
      <c r="GK123" s="66"/>
      <c r="GL123" s="66"/>
      <c r="GM123" s="66"/>
      <c r="GN123" s="66"/>
      <c r="GO123" s="66"/>
      <c r="GP123" s="66"/>
      <c r="GQ123" s="66"/>
      <c r="GR123" s="66"/>
      <c r="GS123" s="66"/>
      <c r="GT123" s="66"/>
      <c r="GU123" s="66"/>
      <c r="GV123" s="66"/>
      <c r="GW123" s="66"/>
      <c r="GX123" s="66"/>
      <c r="GY123" s="66"/>
      <c r="GZ123" s="66"/>
      <c r="HA123" s="66"/>
      <c r="HB123" s="66"/>
      <c r="HC123" s="66"/>
      <c r="HD123" s="66"/>
      <c r="HE123" s="66"/>
      <c r="HF123" s="66"/>
      <c r="HG123" s="66"/>
      <c r="HH123" s="66"/>
      <c r="HI123" s="66"/>
      <c r="HJ123" s="66"/>
      <c r="HK123" s="66"/>
      <c r="HL123" s="66"/>
      <c r="HM123" s="66"/>
      <c r="HN123" s="66"/>
      <c r="HO123" s="66"/>
      <c r="HP123" s="66"/>
      <c r="HQ123" s="66"/>
      <c r="HR123" s="66"/>
      <c r="HS123" s="66"/>
      <c r="HT123" s="66"/>
      <c r="HU123" s="66"/>
      <c r="HV123" s="66"/>
      <c r="HW123" s="66"/>
      <c r="HX123" s="66"/>
      <c r="HY123" s="66"/>
      <c r="HZ123" s="66"/>
      <c r="IA123" s="66"/>
      <c r="IB123" s="66"/>
      <c r="IC123" s="66"/>
      <c r="ID123" s="66"/>
      <c r="IE123" s="66"/>
      <c r="IF123" s="66"/>
      <c r="IG123" s="66"/>
      <c r="IH123" s="66"/>
      <c r="II123" s="66"/>
      <c r="IJ123" s="66"/>
      <c r="IK123" s="66"/>
      <c r="IL123" s="66"/>
      <c r="IM123" s="66"/>
      <c r="IN123" s="66"/>
      <c r="IO123" s="66"/>
      <c r="IP123" s="66"/>
      <c r="IQ123" s="66"/>
    </row>
    <row r="124" spans="1:251" s="65" customFormat="1" ht="18" customHeight="1" x14ac:dyDescent="0.25">
      <c r="A124" s="414" t="s">
        <v>235</v>
      </c>
      <c r="B124" s="302"/>
      <c r="C124" s="302"/>
      <c r="D124" s="302"/>
      <c r="E124" s="303"/>
      <c r="F124" s="204"/>
      <c r="G124" s="204"/>
      <c r="H124" s="199"/>
      <c r="I124" s="204"/>
      <c r="J124" s="204"/>
      <c r="K124" s="199"/>
      <c r="L124" s="204"/>
      <c r="M124" s="204"/>
      <c r="N124" s="199"/>
      <c r="O124" s="204"/>
      <c r="P124" s="66"/>
      <c r="Q124" s="66"/>
      <c r="R124" s="204"/>
      <c r="S124" s="66"/>
      <c r="T124" s="66"/>
      <c r="U124" s="204"/>
      <c r="V124" s="66"/>
      <c r="W124" s="66"/>
      <c r="X124" s="204"/>
      <c r="Y124" s="66"/>
      <c r="Z124" s="66"/>
      <c r="AA124" s="204"/>
      <c r="AB124" s="66"/>
      <c r="AC124" s="200"/>
      <c r="AD124" s="204"/>
      <c r="AE124" s="201"/>
      <c r="AF124" s="202"/>
      <c r="AG124" s="202"/>
      <c r="AH124" s="202"/>
      <c r="AI124" s="202"/>
      <c r="AJ124" s="66"/>
      <c r="AK124" s="66"/>
      <c r="AL124" s="66"/>
      <c r="AM124" s="307"/>
      <c r="AN124" s="374"/>
      <c r="AO124" s="367"/>
      <c r="AP124" s="204"/>
      <c r="AQ124" s="204"/>
      <c r="AR124" s="204"/>
      <c r="AS124" s="204"/>
      <c r="AT124" s="204"/>
      <c r="AU124" s="368"/>
      <c r="AV124" s="205"/>
      <c r="AW124" s="203"/>
      <c r="AX124" s="66"/>
      <c r="AY124" s="66"/>
      <c r="AZ124" s="66"/>
      <c r="BA124" s="66"/>
      <c r="BB124" s="66"/>
      <c r="BC124" s="66"/>
      <c r="BD124" s="359"/>
      <c r="BE124" s="207"/>
      <c r="BF124" s="66"/>
      <c r="BG124" s="66"/>
      <c r="BH124" s="66"/>
      <c r="BI124" s="200"/>
      <c r="BJ124" s="66"/>
      <c r="BK124" s="208"/>
      <c r="BL124" s="405"/>
      <c r="BM124" s="204"/>
      <c r="BN124" s="199"/>
      <c r="BO124" s="66"/>
      <c r="BP124" s="204"/>
      <c r="BQ124" s="66"/>
      <c r="BR124" s="204"/>
      <c r="BS124" s="204"/>
      <c r="BT124" s="66"/>
      <c r="BU124" s="204"/>
      <c r="BV124" s="204"/>
      <c r="BW124" s="206"/>
      <c r="BX124" s="66"/>
      <c r="BY124" s="206"/>
      <c r="BZ124" s="206"/>
      <c r="CA124" s="199"/>
      <c r="CC124" s="206"/>
      <c r="CD124" s="304"/>
      <c r="CE124" s="66"/>
      <c r="CF124" s="66"/>
      <c r="CG124" s="562"/>
      <c r="CH124" s="66"/>
      <c r="CI124" s="66"/>
      <c r="CJ124" s="66"/>
      <c r="CK124" s="66"/>
      <c r="CL124" s="66"/>
      <c r="CM124" s="66"/>
      <c r="CN124" s="66"/>
      <c r="CO124" s="66"/>
      <c r="CP124" s="66"/>
      <c r="CQ124" s="66"/>
      <c r="CR124" s="66"/>
      <c r="CS124" s="66"/>
      <c r="CT124" s="66"/>
      <c r="CU124" s="66"/>
      <c r="CV124" s="66"/>
      <c r="CW124" s="66"/>
      <c r="CX124" s="66"/>
      <c r="CY124" s="66"/>
      <c r="CZ124" s="66"/>
      <c r="DA124" s="66"/>
      <c r="DB124" s="66"/>
      <c r="DC124" s="66"/>
      <c r="DD124" s="66"/>
      <c r="DE124" s="66"/>
      <c r="DF124" s="66"/>
      <c r="DG124" s="66"/>
      <c r="DH124" s="66"/>
      <c r="DI124" s="66"/>
      <c r="DJ124" s="66"/>
      <c r="DK124" s="66"/>
      <c r="DL124" s="66"/>
      <c r="DM124" s="66"/>
      <c r="DN124" s="66"/>
      <c r="DO124" s="66"/>
      <c r="DP124" s="66"/>
      <c r="DQ124" s="66"/>
      <c r="DR124" s="66"/>
      <c r="DS124" s="66"/>
      <c r="DT124" s="66"/>
      <c r="DU124" s="66"/>
      <c r="DV124" s="66"/>
      <c r="DW124" s="66"/>
      <c r="DX124" s="66"/>
      <c r="DY124" s="66"/>
      <c r="DZ124" s="66"/>
      <c r="EA124" s="66"/>
      <c r="EB124" s="66"/>
      <c r="EC124" s="66"/>
      <c r="ED124" s="66"/>
      <c r="EE124" s="66"/>
      <c r="EF124" s="66"/>
      <c r="EG124" s="66"/>
      <c r="EH124" s="66"/>
      <c r="EI124" s="66"/>
      <c r="EJ124" s="66"/>
      <c r="EK124" s="66"/>
      <c r="EL124" s="66"/>
      <c r="EM124" s="66"/>
      <c r="EN124" s="66"/>
      <c r="EO124" s="66"/>
      <c r="EP124" s="66"/>
      <c r="EQ124" s="66"/>
      <c r="ER124" s="66"/>
      <c r="ES124" s="66"/>
      <c r="ET124" s="66"/>
      <c r="EU124" s="66"/>
      <c r="EV124" s="66"/>
      <c r="EW124" s="66"/>
      <c r="EX124" s="66"/>
      <c r="EY124" s="66"/>
      <c r="EZ124" s="66"/>
      <c r="FA124" s="66"/>
      <c r="FB124" s="66"/>
      <c r="FC124" s="66"/>
      <c r="FD124" s="66"/>
      <c r="FE124" s="66"/>
      <c r="FF124" s="66"/>
      <c r="FG124" s="66"/>
      <c r="FH124" s="66"/>
      <c r="FI124" s="66"/>
      <c r="FJ124" s="66"/>
      <c r="FK124" s="66"/>
      <c r="FL124" s="66"/>
      <c r="FM124" s="66"/>
      <c r="FN124" s="66"/>
      <c r="FO124" s="66"/>
      <c r="FP124" s="66"/>
      <c r="FQ124" s="66"/>
      <c r="FR124" s="66"/>
      <c r="FS124" s="66"/>
      <c r="FT124" s="66"/>
      <c r="FU124" s="66"/>
      <c r="FV124" s="66"/>
      <c r="FW124" s="66"/>
      <c r="FX124" s="66"/>
      <c r="FY124" s="66"/>
      <c r="FZ124" s="66"/>
      <c r="GA124" s="66"/>
      <c r="GB124" s="66"/>
      <c r="GC124" s="66"/>
      <c r="GD124" s="66"/>
      <c r="GE124" s="66"/>
      <c r="GF124" s="66"/>
      <c r="GG124" s="66"/>
      <c r="GH124" s="66"/>
      <c r="GI124" s="66"/>
      <c r="GJ124" s="66"/>
      <c r="GK124" s="66"/>
      <c r="GL124" s="66"/>
      <c r="GM124" s="66"/>
      <c r="GN124" s="66"/>
      <c r="GO124" s="66"/>
      <c r="GP124" s="66"/>
      <c r="GQ124" s="66"/>
      <c r="GR124" s="66"/>
      <c r="GS124" s="66"/>
      <c r="GT124" s="66"/>
      <c r="GU124" s="66"/>
      <c r="GV124" s="66"/>
      <c r="GW124" s="66"/>
      <c r="GX124" s="66"/>
      <c r="GY124" s="66"/>
      <c r="GZ124" s="66"/>
      <c r="HA124" s="66"/>
      <c r="HB124" s="66"/>
      <c r="HC124" s="66"/>
      <c r="HD124" s="66"/>
      <c r="HE124" s="66"/>
      <c r="HF124" s="66"/>
      <c r="HG124" s="66"/>
      <c r="HH124" s="66"/>
      <c r="HI124" s="66"/>
      <c r="HJ124" s="66"/>
      <c r="HK124" s="66"/>
      <c r="HL124" s="66"/>
      <c r="HM124" s="66"/>
      <c r="HN124" s="66"/>
      <c r="HO124" s="66"/>
      <c r="HP124" s="66"/>
      <c r="HQ124" s="66"/>
      <c r="HR124" s="66"/>
      <c r="HS124" s="66"/>
      <c r="HT124" s="66"/>
      <c r="HU124" s="66"/>
      <c r="HV124" s="66"/>
      <c r="HW124" s="66"/>
      <c r="HX124" s="66"/>
      <c r="HY124" s="66"/>
      <c r="HZ124" s="66"/>
      <c r="IA124" s="66"/>
      <c r="IB124" s="66"/>
      <c r="IC124" s="66"/>
      <c r="ID124" s="66"/>
      <c r="IE124" s="66"/>
      <c r="IF124" s="66"/>
      <c r="IG124" s="66"/>
      <c r="IH124" s="66"/>
      <c r="II124" s="66"/>
      <c r="IJ124" s="66"/>
      <c r="IK124" s="66"/>
      <c r="IL124" s="66"/>
      <c r="IM124" s="66"/>
      <c r="IN124" s="66"/>
      <c r="IO124" s="66"/>
      <c r="IP124" s="66"/>
      <c r="IQ124" s="66"/>
    </row>
    <row r="125" spans="1:251" ht="18" customHeight="1" x14ac:dyDescent="0.25">
      <c r="A125" s="363"/>
      <c r="B125" s="302"/>
      <c r="C125" s="302"/>
      <c r="D125" s="302"/>
      <c r="E125" s="303"/>
      <c r="F125" s="204"/>
      <c r="G125" s="204"/>
      <c r="I125" s="204"/>
      <c r="J125" s="204"/>
      <c r="L125" s="204"/>
      <c r="M125" s="204"/>
      <c r="O125" s="204"/>
      <c r="P125" s="317"/>
      <c r="Q125" s="316"/>
      <c r="R125" s="204"/>
      <c r="S125" s="204"/>
      <c r="T125" s="304"/>
      <c r="U125" s="204"/>
      <c r="V125" s="204"/>
      <c r="W125" s="304"/>
      <c r="X125" s="204"/>
      <c r="AA125" s="204"/>
      <c r="AD125" s="204"/>
      <c r="AI125" s="202"/>
      <c r="AM125" s="307"/>
      <c r="AN125" s="374"/>
      <c r="BD125" s="359"/>
      <c r="BI125" s="200"/>
      <c r="BL125" s="405"/>
      <c r="BN125" s="199"/>
      <c r="BP125" s="204"/>
      <c r="BR125" s="204"/>
      <c r="BS125" s="204"/>
      <c r="BW125" s="206"/>
      <c r="BY125" s="206"/>
      <c r="BZ125" s="206"/>
      <c r="CA125" s="199"/>
      <c r="CC125" s="206"/>
      <c r="CD125" s="304"/>
      <c r="CG125" s="562"/>
    </row>
    <row r="126" spans="1:251" s="289" customFormat="1" ht="18" customHeight="1" x14ac:dyDescent="0.25">
      <c r="A126" s="283" t="s">
        <v>62</v>
      </c>
      <c r="B126" s="375"/>
      <c r="C126" s="375"/>
      <c r="D126" s="375"/>
      <c r="E126" s="376"/>
      <c r="F126" s="287"/>
      <c r="G126" s="287"/>
      <c r="H126" s="288"/>
      <c r="I126" s="287"/>
      <c r="J126" s="287"/>
      <c r="K126" s="288"/>
      <c r="L126" s="287"/>
      <c r="M126" s="287"/>
      <c r="N126" s="288"/>
      <c r="O126" s="287"/>
      <c r="P126" s="285"/>
      <c r="Q126" s="377"/>
      <c r="R126" s="287"/>
      <c r="S126" s="287"/>
      <c r="T126" s="407"/>
      <c r="U126" s="287"/>
      <c r="V126" s="287"/>
      <c r="W126" s="407"/>
      <c r="X126" s="287"/>
      <c r="AA126" s="287"/>
      <c r="AC126" s="290"/>
      <c r="AD126" s="287"/>
      <c r="AE126" s="291"/>
      <c r="AF126" s="292"/>
      <c r="AG126" s="292"/>
      <c r="AH126" s="292"/>
      <c r="AI126" s="292"/>
      <c r="AM126" s="383"/>
      <c r="AN126" s="384"/>
      <c r="AO126" s="295"/>
      <c r="AP126" s="287"/>
      <c r="AQ126" s="287"/>
      <c r="AR126" s="287"/>
      <c r="AS126" s="287"/>
      <c r="AT126" s="287"/>
      <c r="AU126" s="296"/>
      <c r="AV126" s="295"/>
      <c r="AW126" s="287"/>
      <c r="BD126" s="297"/>
      <c r="BE126" s="298"/>
      <c r="BF126" s="298"/>
      <c r="BG126" s="298"/>
      <c r="BI126" s="290"/>
      <c r="BK126" s="299"/>
      <c r="BL126" s="408"/>
      <c r="BM126" s="287"/>
      <c r="BN126" s="288"/>
      <c r="BP126" s="287"/>
      <c r="BR126" s="287"/>
      <c r="BS126" s="287"/>
      <c r="BU126" s="287"/>
      <c r="BV126" s="287"/>
      <c r="BW126" s="296"/>
      <c r="BY126" s="296"/>
      <c r="BZ126" s="296"/>
      <c r="CA126" s="288"/>
      <c r="CC126" s="296"/>
      <c r="CD126" s="407"/>
      <c r="CG126" s="677"/>
    </row>
    <row r="127" spans="1:251" s="148" customFormat="1" ht="18" customHeight="1" x14ac:dyDescent="0.25">
      <c r="A127" s="68" t="s">
        <v>237</v>
      </c>
      <c r="B127" s="415" t="s">
        <v>132</v>
      </c>
      <c r="C127" s="415" t="s">
        <v>132</v>
      </c>
      <c r="D127" s="415" t="s">
        <v>132</v>
      </c>
      <c r="E127" s="415" t="s">
        <v>132</v>
      </c>
      <c r="F127" s="415" t="s">
        <v>132</v>
      </c>
      <c r="G127" s="415" t="s">
        <v>132</v>
      </c>
      <c r="H127" s="415" t="s">
        <v>132</v>
      </c>
      <c r="I127" s="415" t="s">
        <v>132</v>
      </c>
      <c r="J127" s="415" t="s">
        <v>132</v>
      </c>
      <c r="K127" s="415" t="s">
        <v>132</v>
      </c>
      <c r="L127" s="204">
        <f>'FY 2016 by Agency'!L128*Inflator!$E$6</f>
        <v>0</v>
      </c>
      <c r="M127" s="415" t="s">
        <v>132</v>
      </c>
      <c r="N127" s="415" t="s">
        <v>132</v>
      </c>
      <c r="O127" s="204">
        <f>'FY 2016 by Agency'!O128*Inflator!$E$7</f>
        <v>0</v>
      </c>
      <c r="P127" s="416">
        <v>0</v>
      </c>
      <c r="Q127" s="417" t="s">
        <v>132</v>
      </c>
      <c r="R127" s="204">
        <f>'FY 2016 by Agency'!R128*Inflator!$E$8</f>
        <v>0</v>
      </c>
      <c r="S127" s="416">
        <v>0</v>
      </c>
      <c r="T127" s="417" t="s">
        <v>132</v>
      </c>
      <c r="U127" s="204">
        <f>'FY 2016 by Agency'!U128*Inflator!$E$9</f>
        <v>0</v>
      </c>
      <c r="V127" s="416">
        <v>0</v>
      </c>
      <c r="W127" s="417" t="s">
        <v>132</v>
      </c>
      <c r="X127" s="204">
        <f>'FY 2016 by Agency'!X128*Inflator!$E$10</f>
        <v>2822.6741822800891</v>
      </c>
      <c r="Y127" s="413">
        <f>X127-U127</f>
        <v>2822.6741822800891</v>
      </c>
      <c r="Z127" s="396" t="s">
        <v>405</v>
      </c>
      <c r="AA127" s="204">
        <f>'FY 2016 by Agency'!AA128*Inflator!$E$11</f>
        <v>5615.1245619624096</v>
      </c>
      <c r="AB127" s="206">
        <f t="shared" ref="AB127:AB139" si="129">AA127-X127</f>
        <v>2792.4503796823205</v>
      </c>
      <c r="AC127" s="304">
        <f t="shared" ref="AC127:AC136" si="130">AB127/X127</f>
        <v>0.9892924933428362</v>
      </c>
      <c r="AD127" s="204" t="e">
        <f>'FY 2016 by Agency'!AD128*Inflator!#REF!</f>
        <v>#REF!</v>
      </c>
      <c r="AE127" s="204">
        <f>'FY 2016 by Agency'!AE128*Inflator!$B$8</f>
        <v>0</v>
      </c>
      <c r="AF127" s="204">
        <f>'FY 2016 by Agency'!AF128*Inflator!$E$12</f>
        <v>928.96898496240613</v>
      </c>
      <c r="AG127" s="204">
        <f t="shared" ref="AG127:AG141" si="131">AF127-AA127</f>
        <v>-4686.1555770000032</v>
      </c>
      <c r="AH127" s="304">
        <f t="shared" ref="AH127:AH141" si="132">AG127/AA127</f>
        <v>-0.83455950536603152</v>
      </c>
      <c r="AI127" s="204">
        <f>'FY 2016 by Agency'!AI128*Inflator!$B$8</f>
        <v>0</v>
      </c>
      <c r="AJ127" s="204">
        <f>'FY 2016 by Agency'!AJ128*Inflator!$B$8</f>
        <v>0</v>
      </c>
      <c r="AK127" s="204">
        <f>'FY 2016 by Agency'!AK128</f>
        <v>795</v>
      </c>
      <c r="AL127" s="204">
        <f>'FY 2016 by Agency'!AL128</f>
        <v>0</v>
      </c>
      <c r="AM127" s="204">
        <f>'FY 2016 by Agency'!AM128</f>
        <v>795</v>
      </c>
      <c r="AN127" s="204">
        <f>'FY 2016 by Agency'!AN128</f>
        <v>2510</v>
      </c>
      <c r="AO127" s="204">
        <f>'FY 2016 by Agency'!AO128</f>
        <v>2510</v>
      </c>
      <c r="AP127" s="204">
        <f>'FY 2016 by Agency'!AP128</f>
        <v>31</v>
      </c>
      <c r="AQ127" s="204">
        <f>'FY 2016 by Agency'!AQ128</f>
        <v>17</v>
      </c>
      <c r="AR127" s="204">
        <f>'FY 2016 by Agency'!AR128</f>
        <v>48</v>
      </c>
      <c r="AS127" s="204">
        <f>'FY 2016 by Agency'!AS128</f>
        <v>1262.3665699999999</v>
      </c>
      <c r="AT127" s="204" t="e">
        <f t="shared" ref="AT127:AT139" si="133">AR127-AD127</f>
        <v>#REF!</v>
      </c>
      <c r="AU127" s="304" t="e">
        <f t="shared" ref="AU127:AU141" si="134">AT127/AD127</f>
        <v>#REF!</v>
      </c>
      <c r="AV127" s="204">
        <f t="shared" ref="AV127:AV141" si="135">AS127-AF127</f>
        <v>333.39758503759379</v>
      </c>
      <c r="AW127" s="304">
        <f t="shared" ref="AW127:AW141" si="136">AV127/AF127</f>
        <v>0.35888989883885719</v>
      </c>
      <c r="AX127" s="305" t="s">
        <v>430</v>
      </c>
      <c r="AY127" s="318">
        <v>1273</v>
      </c>
      <c r="AZ127" s="418">
        <f t="shared" ref="AZ127:AZ138" si="137">+AY127-AO127</f>
        <v>-1237</v>
      </c>
      <c r="BA127" s="418">
        <f t="shared" ref="BA127:BA138" si="138">+AZ127+AV127</f>
        <v>-903.60241496240621</v>
      </c>
      <c r="BB127" s="418">
        <f t="shared" ref="BB127:BB138" si="139">+AZ127+AS127</f>
        <v>25.366569999999911</v>
      </c>
      <c r="BC127" s="397">
        <f t="shared" ref="BC127:BC138" si="140">+BB127/AF127-1</f>
        <v>-0.97269384617719346</v>
      </c>
      <c r="BD127" s="306">
        <v>30.512</v>
      </c>
      <c r="BE127" s="199">
        <f>BD127/AY127</f>
        <v>2.3968578161822466E-2</v>
      </c>
      <c r="BF127" s="419">
        <v>34</v>
      </c>
      <c r="BG127" s="419"/>
      <c r="BI127" s="418">
        <v>1227</v>
      </c>
      <c r="BJ127" s="418">
        <f>BI127-AY127</f>
        <v>-46</v>
      </c>
      <c r="BK127" s="418">
        <f>BI127+AP127+AQ127</f>
        <v>1275</v>
      </c>
      <c r="BL127" s="307">
        <f>'FY 2016 by Agency'!BB128*Inflator!$E$13</f>
        <v>1335.1732534971009</v>
      </c>
      <c r="BM127" s="203">
        <f>BL127-AF127</f>
        <v>406.20426853469473</v>
      </c>
      <c r="BN127" s="362">
        <f t="shared" ref="BN127:BN139" si="141">BM127/AF127</f>
        <v>0.43726354174368176</v>
      </c>
      <c r="BO127" s="204">
        <f>'FY 2016 by Agency'!AX128*Inflator!$E$13</f>
        <v>1349.0634726884346</v>
      </c>
      <c r="BP127" s="204">
        <f t="shared" si="84"/>
        <v>420.09448772602843</v>
      </c>
      <c r="BQ127" s="199">
        <f t="shared" si="85"/>
        <v>0.45221583769347151</v>
      </c>
      <c r="BR127" s="204">
        <f>'FY 2016 by Agency'!BE128*Inflator!$E$14</f>
        <v>1799.352800953516</v>
      </c>
      <c r="BS127" s="204">
        <f t="shared" si="86"/>
        <v>450.28932826508139</v>
      </c>
      <c r="BT127" s="199">
        <f t="shared" si="87"/>
        <v>0.3337792011874266</v>
      </c>
      <c r="BU127" s="203">
        <f>'FY 2016 by Agency'!BL128*Inflator!$E$14</f>
        <v>1804.7207985697257</v>
      </c>
      <c r="BV127" s="203">
        <f>BU127-BL127</f>
        <v>469.54754507262487</v>
      </c>
      <c r="BW127" s="309">
        <v>1803</v>
      </c>
      <c r="BX127" s="206">
        <f>'FY 2016 by Agency'!BW128*Inflator!E15</f>
        <v>1904.4881266490763</v>
      </c>
      <c r="BY127" s="204">
        <f>'FY 2016 by Agency'!BZ128*Inflator!$E$15</f>
        <v>2163.2788038698327</v>
      </c>
      <c r="BZ127" s="206">
        <f t="shared" si="82"/>
        <v>3.6471990464840474</v>
      </c>
      <c r="CA127" s="199">
        <f t="shared" si="83"/>
        <v>2.026950492727895E-3</v>
      </c>
      <c r="CB127" s="308">
        <f>'FY 2016 by Agency'!CF128*Inflator!$E$16</f>
        <v>1935.1949177014149</v>
      </c>
      <c r="CC127" s="206">
        <f t="shared" ref="CC127:CC141" si="142">CB127-BY127</f>
        <v>-228.08388616841785</v>
      </c>
      <c r="CD127" s="304">
        <f t="shared" ref="CD127:CD141" si="143">CC127/BY127</f>
        <v>-0.10543434612330346</v>
      </c>
      <c r="CE127" s="309">
        <f>'FY 2016 by Agency'!CK128*Inflator!$E$17</f>
        <v>2978.1669028053275</v>
      </c>
      <c r="CF127" s="309">
        <f>CE127-CB127</f>
        <v>1042.9719851039126</v>
      </c>
      <c r="CG127" s="608">
        <f>CF127/CB127</f>
        <v>0.53894932007300511</v>
      </c>
      <c r="CH127" s="754">
        <f>'FY 2016 by Agency'!CN128*Inflator!$E$18</f>
        <v>3001</v>
      </c>
      <c r="CI127" s="754">
        <f>CH127-CE127</f>
        <v>22.833097194672519</v>
      </c>
      <c r="CJ127" s="397">
        <f>CI127/CE127</f>
        <v>7.666829274465629E-3</v>
      </c>
    </row>
    <row r="128" spans="1:251" ht="18" customHeight="1" x14ac:dyDescent="0.25">
      <c r="A128" s="68" t="s">
        <v>238</v>
      </c>
      <c r="B128" s="302">
        <f>'FY 2016 by Agency'!B129*Inflator!$E$2</f>
        <v>874625.37679425837</v>
      </c>
      <c r="C128" s="302">
        <f>'FY 2016 by Agency'!C129*Inflator!$E$3</f>
        <v>1033053.0510046368</v>
      </c>
      <c r="D128" s="302">
        <f t="shared" ref="D128:D133" si="144">C128-B128</f>
        <v>158427.67421037843</v>
      </c>
      <c r="E128" s="303">
        <f>(C128-B128)/B128</f>
        <v>0.18113775156062734</v>
      </c>
      <c r="F128" s="204">
        <f>'FY 2016 by Agency'!F129*Inflator!$E$4</f>
        <v>1023793.7529501333</v>
      </c>
      <c r="G128" s="204">
        <f t="shared" ref="G128:G133" si="145">F128-C128</f>
        <v>-9259.2980545035098</v>
      </c>
      <c r="H128" s="199">
        <f t="shared" ref="H128:H133" si="146">(F128-C128)/C128</f>
        <v>-8.9630421646777064E-3</v>
      </c>
      <c r="I128" s="204">
        <f>'FY 2016 by Agency'!I129*Inflator!$E$5</f>
        <v>962747.32614354789</v>
      </c>
      <c r="J128" s="204">
        <f t="shared" ref="J128:J133" si="147">I128-F128</f>
        <v>-61046.426806585398</v>
      </c>
      <c r="K128" s="199">
        <f>(I128-F128)/F128</f>
        <v>-5.9627660972413489E-2</v>
      </c>
      <c r="L128" s="204">
        <f>'FY 2016 by Agency'!L129*Inflator!$E$6</f>
        <v>1015630.8233369684</v>
      </c>
      <c r="M128" s="204">
        <f t="shared" ref="M128:M133" si="148">L128-I128</f>
        <v>52883.497193420539</v>
      </c>
      <c r="N128" s="199">
        <f>(L128-I128)/I128</f>
        <v>5.4929778309802842E-2</v>
      </c>
      <c r="O128" s="204">
        <f>'FY 2016 by Agency'!O129*Inflator!$E$7</f>
        <v>1000283.3505807812</v>
      </c>
      <c r="P128" s="204">
        <f t="shared" ref="P128:P134" si="149">O128-L128</f>
        <v>-15347.472756187199</v>
      </c>
      <c r="Q128" s="316">
        <f>P128/L128</f>
        <v>-1.5111271146499241E-2</v>
      </c>
      <c r="R128" s="204">
        <f>'FY 2016 by Agency'!R129*Inflator!$E$8</f>
        <v>1001921.4083503055</v>
      </c>
      <c r="S128" s="315">
        <f t="shared" ref="S128:S141" si="150">R128-O128</f>
        <v>1638.0577695242828</v>
      </c>
      <c r="T128" s="316">
        <f t="shared" ref="T128:T133" si="151">S128/O128</f>
        <v>1.6375937563823282E-3</v>
      </c>
      <c r="U128" s="204">
        <f>'FY 2016 by Agency'!U129*Inflator!$E$9</f>
        <v>988908.81564986729</v>
      </c>
      <c r="V128" s="315">
        <f>U128-R128</f>
        <v>-13012.592700438225</v>
      </c>
      <c r="W128" s="316">
        <f t="shared" ref="W128:W133" si="152">V128/R128</f>
        <v>-1.2987638144057486E-2</v>
      </c>
      <c r="X128" s="204">
        <f>'FY 2016 by Agency'!X129*Inflator!$E$10</f>
        <v>1000251.8393140681</v>
      </c>
      <c r="Y128" s="413">
        <f t="shared" ref="Y128:Y138" si="153">X128-U128</f>
        <v>11343.023664200795</v>
      </c>
      <c r="Z128" s="316">
        <f t="shared" ref="Z128:Z133" si="154">Y128/U128</f>
        <v>1.1470242235374007E-2</v>
      </c>
      <c r="AA128" s="204">
        <f>'FY 2016 by Agency'!AA129*Inflator!$E$11</f>
        <v>649412.3415100351</v>
      </c>
      <c r="AB128" s="206">
        <f t="shared" si="129"/>
        <v>-350839.49780403299</v>
      </c>
      <c r="AC128" s="304">
        <f t="shared" si="130"/>
        <v>-0.35075116487126323</v>
      </c>
      <c r="AD128" s="204" t="e">
        <f>'FY 2016 by Agency'!AD129*Inflator!#REF!</f>
        <v>#REF!</v>
      </c>
      <c r="AE128" s="204">
        <f>'FY 2016 by Agency'!AE129*Inflator!$B$8</f>
        <v>0</v>
      </c>
      <c r="AF128" s="204">
        <f>'FY 2016 by Agency'!AF129*Inflator!$E$12</f>
        <v>590147.0187969926</v>
      </c>
      <c r="AG128" s="204">
        <f t="shared" si="131"/>
        <v>-59265.322713042493</v>
      </c>
      <c r="AH128" s="304">
        <f t="shared" si="132"/>
        <v>-9.1259926744288233E-2</v>
      </c>
      <c r="AI128" s="204">
        <f>'FY 2016 by Agency'!AI129*Inflator!$B$8</f>
        <v>0</v>
      </c>
      <c r="AJ128" s="204">
        <f>'FY 2016 by Agency'!AJ129*Inflator!$B$8</f>
        <v>0</v>
      </c>
      <c r="AK128" s="204">
        <f>'FY 2016 by Agency'!AK129</f>
        <v>550548</v>
      </c>
      <c r="AL128" s="204">
        <f>'FY 2016 by Agency'!AL129</f>
        <v>0</v>
      </c>
      <c r="AM128" s="204">
        <f>'FY 2016 by Agency'!AM129</f>
        <v>550548</v>
      </c>
      <c r="AN128" s="204">
        <f>'FY 2016 by Agency'!AN129</f>
        <v>563538</v>
      </c>
      <c r="AO128" s="204">
        <f>'FY 2016 by Agency'!AO129</f>
        <v>568044</v>
      </c>
      <c r="AP128" s="204">
        <f>'FY 2016 by Agency'!AP129</f>
        <v>0</v>
      </c>
      <c r="AQ128" s="204">
        <f>'FY 2016 by Agency'!AQ129</f>
        <v>0</v>
      </c>
      <c r="AR128" s="204">
        <f>'FY 2016 by Agency'!AR129</f>
        <v>0</v>
      </c>
      <c r="AS128" s="204">
        <f>'FY 2016 by Agency'!AS129</f>
        <v>589196</v>
      </c>
      <c r="AT128" s="204" t="e">
        <f t="shared" si="133"/>
        <v>#REF!</v>
      </c>
      <c r="AU128" s="304" t="e">
        <f t="shared" si="134"/>
        <v>#REF!</v>
      </c>
      <c r="AV128" s="204">
        <f t="shared" si="135"/>
        <v>-951.01879699260462</v>
      </c>
      <c r="AW128" s="304">
        <f t="shared" si="136"/>
        <v>-1.6114947067448458E-3</v>
      </c>
      <c r="AX128" s="305" t="s">
        <v>431</v>
      </c>
      <c r="AY128" s="418">
        <v>568044</v>
      </c>
      <c r="AZ128" s="418">
        <f t="shared" si="137"/>
        <v>0</v>
      </c>
      <c r="BA128" s="418">
        <f t="shared" si="138"/>
        <v>-951.01879699260462</v>
      </c>
      <c r="BB128" s="418">
        <f t="shared" si="139"/>
        <v>589196</v>
      </c>
      <c r="BC128" s="397">
        <f t="shared" si="140"/>
        <v>-1.6114947067448204E-3</v>
      </c>
      <c r="BD128" s="306">
        <v>6539.0619999999999</v>
      </c>
      <c r="BE128" s="199">
        <f t="shared" ref="BE128:BE138" si="155">BD128/AY128</f>
        <v>1.1511541359472154E-2</v>
      </c>
      <c r="BF128" s="419">
        <v>11010</v>
      </c>
      <c r="BG128" s="419"/>
      <c r="BI128" s="200">
        <v>549309</v>
      </c>
      <c r="BJ128" s="418">
        <f t="shared" ref="BJ128:BJ141" si="156">BI128-AY128</f>
        <v>-18735</v>
      </c>
      <c r="BK128" s="418">
        <f t="shared" ref="BK128:BK139" si="157">BI128+AP128+AQ128</f>
        <v>549309</v>
      </c>
      <c r="BL128" s="307">
        <f>'FY 2016 by Agency'!BB129*Inflator!$E$13</f>
        <v>647809.94446139759</v>
      </c>
      <c r="BM128" s="203">
        <f t="shared" ref="BM128:BM141" si="158">BL128-AF128</f>
        <v>57662.925664404989</v>
      </c>
      <c r="BN128" s="362">
        <f t="shared" si="141"/>
        <v>9.7709424648031173E-2</v>
      </c>
      <c r="BO128" s="204">
        <f>'FY 2016 by Agency'!AX129*Inflator!$E$13</f>
        <v>615059.69697894412</v>
      </c>
      <c r="BP128" s="204">
        <f t="shared" si="84"/>
        <v>24912.678181951516</v>
      </c>
      <c r="BQ128" s="199">
        <f t="shared" si="85"/>
        <v>4.2214359114675699E-2</v>
      </c>
      <c r="BR128" s="204">
        <f>'FY 2016 by Agency'!BE129*Inflator!$E$14</f>
        <v>687578.2258641239</v>
      </c>
      <c r="BS128" s="204">
        <f t="shared" si="86"/>
        <v>72518.528885179781</v>
      </c>
      <c r="BT128" s="199">
        <f t="shared" si="87"/>
        <v>0.11790486231072685</v>
      </c>
      <c r="BU128" s="204">
        <f>'FY 2016 by Agency'!BL129*Inflator!$E$14</f>
        <v>687578.2258641239</v>
      </c>
      <c r="BV128" s="203">
        <f t="shared" ref="BV128:BV141" si="159">BU128-BL128</f>
        <v>39768.281402726308</v>
      </c>
      <c r="BW128" s="206">
        <v>657784</v>
      </c>
      <c r="BX128" s="206">
        <f>'FY 2016 by Agency'!BW129*Inflator!E15</f>
        <v>742377.49956024624</v>
      </c>
      <c r="BY128" s="204">
        <f>'FY 2016 by Agency'!BZ129*Inflator!$E$15</f>
        <v>697474.67634124879</v>
      </c>
      <c r="BZ128" s="206">
        <f t="shared" si="82"/>
        <v>-29794.225864123902</v>
      </c>
      <c r="CA128" s="199">
        <f t="shared" si="83"/>
        <v>-4.3332125339890712E-2</v>
      </c>
      <c r="CB128" s="308">
        <f>'FY 2016 by Agency'!CF129*Inflator!$E$16</f>
        <v>689919.87756280671</v>
      </c>
      <c r="CC128" s="206">
        <f t="shared" si="142"/>
        <v>-7554.7987784420839</v>
      </c>
      <c r="CD128" s="304">
        <f t="shared" si="143"/>
        <v>-1.0831645986163084E-2</v>
      </c>
      <c r="CE128" s="309">
        <f>'FY 2016 by Agency'!CK129*Inflator!$E$17</f>
        <v>724570.54888070282</v>
      </c>
      <c r="CF128" s="309">
        <f t="shared" ref="CF128:CF140" si="160">CE128-CB128</f>
        <v>34650.671317896107</v>
      </c>
      <c r="CG128" s="608">
        <f t="shared" ref="CG128:CG139" si="161">CF128/CB128</f>
        <v>5.022419623609365E-2</v>
      </c>
      <c r="CH128" s="754">
        <f>'FY 2016 by Agency'!CN129*Inflator!$E$18</f>
        <v>733431</v>
      </c>
      <c r="CI128" s="754">
        <f t="shared" ref="CI128:CI141" si="162">CH128-CE128</f>
        <v>8860.4511192971841</v>
      </c>
      <c r="CJ128" s="397">
        <f t="shared" ref="CJ128:CJ140" si="163">CI128/CE128</f>
        <v>1.2228555429122219E-2</v>
      </c>
    </row>
    <row r="129" spans="1:169" ht="18" customHeight="1" x14ac:dyDescent="0.25">
      <c r="A129" s="68" t="s">
        <v>239</v>
      </c>
      <c r="B129" s="302">
        <f>'FY 2016 by Agency'!B130*Inflator!$E$2</f>
        <v>15371.650717703349</v>
      </c>
      <c r="C129" s="302">
        <f>'FY 2016 by Agency'!C130*Inflator!$E$3</f>
        <v>278.43894899536326</v>
      </c>
      <c r="D129" s="302">
        <f t="shared" si="144"/>
        <v>-15093.211768707986</v>
      </c>
      <c r="E129" s="303">
        <f>(C129-B129)/B129</f>
        <v>-0.98188620375854052</v>
      </c>
      <c r="F129" s="204">
        <f>'FY 2016 by Agency'!F130*Inflator!$E$4</f>
        <v>0</v>
      </c>
      <c r="G129" s="204">
        <f t="shared" si="145"/>
        <v>-278.43894899536326</v>
      </c>
      <c r="H129" s="199">
        <f t="shared" si="146"/>
        <v>-1</v>
      </c>
      <c r="I129" s="204">
        <f>'FY 2016 by Agency'!I130*Inflator!$E$5</f>
        <v>0</v>
      </c>
      <c r="J129" s="204">
        <f t="shared" si="147"/>
        <v>0</v>
      </c>
      <c r="K129" s="415" t="s">
        <v>132</v>
      </c>
      <c r="L129" s="204">
        <f>'FY 2016 by Agency'!L130*Inflator!$E$6</f>
        <v>0</v>
      </c>
      <c r="M129" s="204">
        <f t="shared" si="148"/>
        <v>0</v>
      </c>
      <c r="N129" s="415" t="s">
        <v>132</v>
      </c>
      <c r="O129" s="204">
        <f>'FY 2016 by Agency'!O130*Inflator!$E$7</f>
        <v>11600.366420274549</v>
      </c>
      <c r="P129" s="204">
        <f t="shared" si="149"/>
        <v>11600.366420274549</v>
      </c>
      <c r="Q129" s="395" t="s">
        <v>132</v>
      </c>
      <c r="R129" s="204">
        <f>'FY 2016 by Agency'!R130*Inflator!$E$8</f>
        <v>18872.332993890021</v>
      </c>
      <c r="S129" s="315">
        <f t="shared" si="150"/>
        <v>7271.9665736154711</v>
      </c>
      <c r="T129" s="316">
        <f t="shared" si="151"/>
        <v>0.6268738684759031</v>
      </c>
      <c r="U129" s="204">
        <f>'FY 2016 by Agency'!U130*Inflator!$E$9</f>
        <v>17369.900530503975</v>
      </c>
      <c r="V129" s="315">
        <f t="shared" ref="V129:V134" si="164">U129-R129</f>
        <v>-1502.4324633860451</v>
      </c>
      <c r="W129" s="316">
        <f t="shared" si="152"/>
        <v>-7.9610319713649735E-2</v>
      </c>
      <c r="X129" s="204">
        <f>'FY 2016 by Agency'!X130*Inflator!$E$10</f>
        <v>6823.8463004128298</v>
      </c>
      <c r="Y129" s="413">
        <f t="shared" si="153"/>
        <v>-10546.054230091146</v>
      </c>
      <c r="Z129" s="316">
        <f t="shared" si="154"/>
        <v>-0.60714534384182561</v>
      </c>
      <c r="AA129" s="204">
        <f>'FY 2016 by Agency'!AA130*Inflator!$E$11</f>
        <v>0</v>
      </c>
      <c r="AB129" s="206">
        <f t="shared" si="129"/>
        <v>-6823.8463004128298</v>
      </c>
      <c r="AC129" s="304">
        <f t="shared" si="130"/>
        <v>-1</v>
      </c>
      <c r="AD129" s="204" t="e">
        <f>'FY 2016 by Agency'!AD130*Inflator!#REF!</f>
        <v>#REF!</v>
      </c>
      <c r="AE129" s="204">
        <f>'FY 2016 by Agency'!AE130*Inflator!$B$8</f>
        <v>0</v>
      </c>
      <c r="AF129" s="204">
        <f>'FY 2016 by Agency'!AF130*Inflator!$E$12</f>
        <v>3386.2781954887223</v>
      </c>
      <c r="AG129" s="204">
        <f t="shared" si="131"/>
        <v>3386.2781954887223</v>
      </c>
      <c r="AH129" s="304" t="e">
        <f t="shared" si="132"/>
        <v>#DIV/0!</v>
      </c>
      <c r="AI129" s="204">
        <f>'FY 2016 by Agency'!AI130*Inflator!$B$8</f>
        <v>0</v>
      </c>
      <c r="AJ129" s="204">
        <f>'FY 2016 by Agency'!AJ130*Inflator!$B$8</f>
        <v>0</v>
      </c>
      <c r="AK129" s="204">
        <f>'FY 2016 by Agency'!AK130</f>
        <v>3000</v>
      </c>
      <c r="AL129" s="204">
        <f>'FY 2016 by Agency'!AL130</f>
        <v>0</v>
      </c>
      <c r="AM129" s="204">
        <f>'FY 2016 by Agency'!AM130</f>
        <v>3000</v>
      </c>
      <c r="AN129" s="204">
        <f>'FY 2016 by Agency'!AN130</f>
        <v>3000</v>
      </c>
      <c r="AO129" s="204">
        <f>'FY 2016 by Agency'!AO130</f>
        <v>3000</v>
      </c>
      <c r="AP129" s="204">
        <f>'FY 2016 by Agency'!AP130</f>
        <v>0</v>
      </c>
      <c r="AQ129" s="204">
        <f>'FY 2016 by Agency'!AQ130</f>
        <v>0</v>
      </c>
      <c r="AR129" s="204">
        <f>'FY 2016 by Agency'!AR130</f>
        <v>0</v>
      </c>
      <c r="AS129" s="204">
        <f>'FY 2016 by Agency'!AS130</f>
        <v>3000</v>
      </c>
      <c r="AT129" s="204" t="e">
        <f t="shared" si="133"/>
        <v>#REF!</v>
      </c>
      <c r="AU129" s="304" t="e">
        <f t="shared" si="134"/>
        <v>#REF!</v>
      </c>
      <c r="AV129" s="204">
        <f t="shared" si="135"/>
        <v>-386.2781954887223</v>
      </c>
      <c r="AW129" s="304">
        <f t="shared" si="136"/>
        <v>-0.11407160699417165</v>
      </c>
      <c r="AX129" s="305" t="s">
        <v>432</v>
      </c>
      <c r="AY129" s="200">
        <v>3000</v>
      </c>
      <c r="AZ129" s="418">
        <f t="shared" si="137"/>
        <v>0</v>
      </c>
      <c r="BA129" s="418">
        <f t="shared" si="138"/>
        <v>-386.2781954887223</v>
      </c>
      <c r="BB129" s="418">
        <f t="shared" si="139"/>
        <v>3000</v>
      </c>
      <c r="BC129" s="397">
        <f t="shared" si="140"/>
        <v>-0.11407160699417163</v>
      </c>
      <c r="BD129" s="306">
        <v>0</v>
      </c>
      <c r="BE129" s="199">
        <f t="shared" si="155"/>
        <v>0</v>
      </c>
      <c r="BF129" s="419"/>
      <c r="BG129" s="419"/>
      <c r="BI129" s="200">
        <v>3000</v>
      </c>
      <c r="BJ129" s="418">
        <f t="shared" si="156"/>
        <v>0</v>
      </c>
      <c r="BK129" s="418">
        <f t="shared" si="157"/>
        <v>3000</v>
      </c>
      <c r="BL129" s="307">
        <f>'FY 2016 by Agency'!BB130*Inflator!$E$13</f>
        <v>3298.44369850473</v>
      </c>
      <c r="BM129" s="203">
        <f t="shared" si="158"/>
        <v>-87.834496983992267</v>
      </c>
      <c r="BN129" s="362">
        <f t="shared" si="141"/>
        <v>-2.5938358254501182E-2</v>
      </c>
      <c r="BO129" s="204">
        <f>'FY 2016 by Agency'!AX130*Inflator!$E$13</f>
        <v>3298.44369850473</v>
      </c>
      <c r="BP129" s="204">
        <f t="shared" si="84"/>
        <v>-87.834496983992267</v>
      </c>
      <c r="BQ129" s="199">
        <f t="shared" si="85"/>
        <v>-2.5938358254501182E-2</v>
      </c>
      <c r="BR129" s="204">
        <f>'FY 2016 by Agency'!BE130*Inflator!$E$14</f>
        <v>3220.7985697258637</v>
      </c>
      <c r="BS129" s="204">
        <f t="shared" si="86"/>
        <v>-77.645128778866365</v>
      </c>
      <c r="BT129" s="199">
        <f t="shared" si="87"/>
        <v>-2.3539928486293372E-2</v>
      </c>
      <c r="BU129" s="204">
        <f>'FY 2016 by Agency'!BL130*Inflator!$E$14</f>
        <v>3220.7985697258637</v>
      </c>
      <c r="BV129" s="203">
        <f t="shared" si="159"/>
        <v>-77.645128778866365</v>
      </c>
      <c r="BW129" s="206">
        <v>6407</v>
      </c>
      <c r="BX129" s="206">
        <f>'FY 2016 by Agency'!BW130*Inflator!E15</f>
        <v>6767.6402814423918</v>
      </c>
      <c r="BY129" s="204">
        <f>'FY 2016 by Agency'!BZ130*Inflator!$E$15</f>
        <v>6756.0211081794187</v>
      </c>
      <c r="BZ129" s="206">
        <f t="shared" si="82"/>
        <v>3186.2014302741363</v>
      </c>
      <c r="CA129" s="199">
        <f t="shared" si="83"/>
        <v>0.98925821075030096</v>
      </c>
      <c r="CB129" s="308">
        <f>'FY 2016 by Agency'!CF130*Inflator!$E$16</f>
        <v>32849.413514293963</v>
      </c>
      <c r="CC129" s="206">
        <f t="shared" si="142"/>
        <v>26093.392406114544</v>
      </c>
      <c r="CD129" s="304">
        <f t="shared" si="143"/>
        <v>3.8622425815875037</v>
      </c>
      <c r="CE129" s="309">
        <f>'FY 2016 by Agency'!CK130*Inflator!$E$17</f>
        <v>40341.552564465856</v>
      </c>
      <c r="CF129" s="309">
        <f t="shared" si="160"/>
        <v>7492.1390501718924</v>
      </c>
      <c r="CG129" s="608">
        <f t="shared" si="161"/>
        <v>0.22807527589227103</v>
      </c>
      <c r="CH129" s="754">
        <f>'FY 2016 by Agency'!CN130*Inflator!$E$18</f>
        <v>44469</v>
      </c>
      <c r="CI129" s="754">
        <f t="shared" si="162"/>
        <v>4127.4474355341445</v>
      </c>
      <c r="CJ129" s="397">
        <f t="shared" si="163"/>
        <v>0.10231255797452213</v>
      </c>
    </row>
    <row r="130" spans="1:169" ht="18" customHeight="1" x14ac:dyDescent="0.25">
      <c r="A130" s="312" t="s">
        <v>240</v>
      </c>
      <c r="B130" s="302">
        <f>'FY 2016 by Agency'!B131*Inflator!$E$2</f>
        <v>33899.517942583734</v>
      </c>
      <c r="C130" s="302">
        <f>'FY 2016 by Agency'!C131*Inflator!$E$3</f>
        <v>35464.768933539417</v>
      </c>
      <c r="D130" s="302">
        <f t="shared" si="144"/>
        <v>1565.2509909556829</v>
      </c>
      <c r="E130" s="415" t="s">
        <v>132</v>
      </c>
      <c r="F130" s="204">
        <f>'FY 2016 by Agency'!F131*Inflator!$E$4</f>
        <v>36601.92653216597</v>
      </c>
      <c r="G130" s="204">
        <f t="shared" si="145"/>
        <v>1137.1575986265525</v>
      </c>
      <c r="H130" s="199">
        <f t="shared" si="146"/>
        <v>3.2064429934890407E-2</v>
      </c>
      <c r="I130" s="204">
        <f>'FY 2016 by Agency'!I131*Inflator!$E$5</f>
        <v>36552.562290814429</v>
      </c>
      <c r="J130" s="204">
        <f t="shared" si="147"/>
        <v>-49.364241351540841</v>
      </c>
      <c r="K130" s="199">
        <f>(I130-F130)/F130</f>
        <v>-1.3486787726367157E-3</v>
      </c>
      <c r="L130" s="204">
        <f>'FY 2016 by Agency'!L131*Inflator!$E$6</f>
        <v>45207.106870229007</v>
      </c>
      <c r="M130" s="204">
        <f t="shared" si="148"/>
        <v>8654.544579414578</v>
      </c>
      <c r="N130" s="199">
        <f>(L130-I130)/I130</f>
        <v>0.23676984695514613</v>
      </c>
      <c r="O130" s="204">
        <f>'FY 2016 by Agency'!O131*Inflator!$E$7</f>
        <v>55797.67370644139</v>
      </c>
      <c r="P130" s="204">
        <f t="shared" si="149"/>
        <v>10590.566836212383</v>
      </c>
      <c r="Q130" s="316">
        <f>P130/L130</f>
        <v>0.23426774172064452</v>
      </c>
      <c r="R130" s="204">
        <f>'FY 2016 by Agency'!R131*Inflator!$E$8</f>
        <v>82701.447046843183</v>
      </c>
      <c r="S130" s="315">
        <f t="shared" si="150"/>
        <v>26903.773340401793</v>
      </c>
      <c r="T130" s="316">
        <f t="shared" si="151"/>
        <v>0.48216657708609756</v>
      </c>
      <c r="U130" s="204">
        <f>'FY 2016 by Agency'!U131*Inflator!$E$9</f>
        <v>71078.015251989375</v>
      </c>
      <c r="V130" s="315">
        <f t="shared" si="164"/>
        <v>-11623.431794853808</v>
      </c>
      <c r="W130" s="316">
        <f t="shared" si="152"/>
        <v>-0.14054689742333221</v>
      </c>
      <c r="X130" s="204">
        <f>'FY 2016 by Agency'!X131*Inflator!$E$10</f>
        <v>118004.2569069546</v>
      </c>
      <c r="Y130" s="413">
        <f t="shared" si="153"/>
        <v>46926.241654965226</v>
      </c>
      <c r="Z130" s="316">
        <f t="shared" si="154"/>
        <v>0.66020754080709687</v>
      </c>
      <c r="AA130" s="204">
        <f>'FY 2016 by Agency'!AA131*Inflator!$E$11</f>
        <v>147048.08314749922</v>
      </c>
      <c r="AB130" s="206">
        <f t="shared" si="129"/>
        <v>29043.826240544615</v>
      </c>
      <c r="AC130" s="304">
        <f t="shared" si="130"/>
        <v>0.2461252415956946</v>
      </c>
      <c r="AD130" s="204" t="e">
        <f>'FY 2016 by Agency'!AD131*Inflator!#REF!</f>
        <v>#REF!</v>
      </c>
      <c r="AE130" s="204">
        <f>'FY 2016 by Agency'!AE131*Inflator!$B$8</f>
        <v>0</v>
      </c>
      <c r="AF130" s="204">
        <f>'FY 2016 by Agency'!AF131*Inflator!$E$12</f>
        <v>124007.765037594</v>
      </c>
      <c r="AG130" s="204">
        <f t="shared" si="131"/>
        <v>-23040.318109905216</v>
      </c>
      <c r="AH130" s="304">
        <f t="shared" si="132"/>
        <v>-0.15668560661749131</v>
      </c>
      <c r="AI130" s="204">
        <f>'FY 2016 by Agency'!AI131*Inflator!$B$8</f>
        <v>0</v>
      </c>
      <c r="AJ130" s="204">
        <f>'FY 2016 by Agency'!AJ131*Inflator!$B$8</f>
        <v>0</v>
      </c>
      <c r="AK130" s="204">
        <f>'FY 2016 by Agency'!AK131</f>
        <v>116890</v>
      </c>
      <c r="AL130" s="204">
        <f>'FY 2016 by Agency'!AL131</f>
        <v>0</v>
      </c>
      <c r="AM130" s="204">
        <f>'FY 2016 by Agency'!AM131</f>
        <v>116890</v>
      </c>
      <c r="AN130" s="204">
        <f>'FY 2016 by Agency'!AN131</f>
        <v>106553</v>
      </c>
      <c r="AO130" s="204">
        <f>'FY 2016 by Agency'!AO131</f>
        <v>116879</v>
      </c>
      <c r="AP130" s="204">
        <f>'FY 2016 by Agency'!AP131</f>
        <v>0</v>
      </c>
      <c r="AQ130" s="204">
        <f>'FY 2016 by Agency'!AQ131</f>
        <v>0</v>
      </c>
      <c r="AR130" s="204">
        <f>'FY 2016 by Agency'!AR131</f>
        <v>0</v>
      </c>
      <c r="AS130" s="204">
        <f>'FY 2016 by Agency'!AS131</f>
        <v>100807</v>
      </c>
      <c r="AT130" s="204" t="e">
        <f t="shared" si="133"/>
        <v>#REF!</v>
      </c>
      <c r="AU130" s="304" t="e">
        <f t="shared" si="134"/>
        <v>#REF!</v>
      </c>
      <c r="AV130" s="204">
        <f t="shared" si="135"/>
        <v>-23200.765037593999</v>
      </c>
      <c r="AW130" s="304">
        <f t="shared" si="136"/>
        <v>-0.18709122796109173</v>
      </c>
      <c r="AX130" s="305" t="s">
        <v>433</v>
      </c>
      <c r="AY130" s="200">
        <v>126138.52687</v>
      </c>
      <c r="AZ130" s="418">
        <f t="shared" si="137"/>
        <v>9259.5268700000015</v>
      </c>
      <c r="BA130" s="418">
        <f t="shared" si="138"/>
        <v>-13941.238167593998</v>
      </c>
      <c r="BB130" s="418">
        <f t="shared" si="139"/>
        <v>110066.52687</v>
      </c>
      <c r="BC130" s="397">
        <f t="shared" si="140"/>
        <v>-0.11242230003393416</v>
      </c>
      <c r="BD130" s="306">
        <v>9197.9950000000008</v>
      </c>
      <c r="BE130" s="199">
        <f t="shared" si="155"/>
        <v>7.2919790869918538E-2</v>
      </c>
      <c r="BF130" s="419">
        <v>8563</v>
      </c>
      <c r="BG130" s="419"/>
      <c r="BI130" s="200">
        <v>122698</v>
      </c>
      <c r="BJ130" s="418">
        <f t="shared" si="156"/>
        <v>-3440.5268700000015</v>
      </c>
      <c r="BK130" s="418">
        <f t="shared" si="157"/>
        <v>122698</v>
      </c>
      <c r="BL130" s="307">
        <f>'FY 2016 by Agency'!BB131*Inflator!$E$13</f>
        <v>110835.40463838876</v>
      </c>
      <c r="BM130" s="203">
        <f t="shared" si="158"/>
        <v>-13172.360399205238</v>
      </c>
      <c r="BN130" s="362">
        <f t="shared" si="141"/>
        <v>-0.1062220611363484</v>
      </c>
      <c r="BO130" s="204">
        <f>'FY 2016 by Agency'!AX131*Inflator!$E$13</f>
        <v>134904.14830637779</v>
      </c>
      <c r="BP130" s="204">
        <f t="shared" si="84"/>
        <v>10896.383268783786</v>
      </c>
      <c r="BQ130" s="199">
        <f t="shared" si="85"/>
        <v>8.7868556178562332E-2</v>
      </c>
      <c r="BR130" s="204">
        <f>'FY 2016 by Agency'!BE131*Inflator!$E$14</f>
        <v>104652.33432657925</v>
      </c>
      <c r="BS130" s="204">
        <f t="shared" si="86"/>
        <v>-30251.813979798535</v>
      </c>
      <c r="BT130" s="199">
        <f t="shared" si="87"/>
        <v>-0.2242467289522804</v>
      </c>
      <c r="BU130" s="204">
        <f>'FY 2016 by Agency'!BL131*Inflator!$E$14</f>
        <v>104994.81257449344</v>
      </c>
      <c r="BV130" s="203">
        <f t="shared" si="159"/>
        <v>-5840.5920638953248</v>
      </c>
      <c r="BW130" s="206">
        <v>102506</v>
      </c>
      <c r="BX130" s="206">
        <f>'FY 2016 by Agency'!BW131*Inflator!E15</f>
        <v>112901.39401934916</v>
      </c>
      <c r="BY130" s="204">
        <f>'FY 2016 by Agency'!BZ131*Inflator!$E$15</f>
        <v>118418.38874230431</v>
      </c>
      <c r="BZ130" s="206">
        <f t="shared" si="82"/>
        <v>-2146.33432657925</v>
      </c>
      <c r="CA130" s="199">
        <f t="shared" si="83"/>
        <v>-2.0509187304712909E-2</v>
      </c>
      <c r="CB130" s="308">
        <f>'FY 2016 by Agency'!CF131*Inflator!$E$16</f>
        <v>132964.53768408892</v>
      </c>
      <c r="CC130" s="206">
        <f t="shared" si="142"/>
        <v>14546.148941784617</v>
      </c>
      <c r="CD130" s="304">
        <f t="shared" si="143"/>
        <v>0.12283690984378415</v>
      </c>
      <c r="CE130" s="309">
        <f>'FY 2016 by Agency'!CK131*Inflator!$E$17</f>
        <v>139458.25502975349</v>
      </c>
      <c r="CF130" s="309">
        <f t="shared" si="160"/>
        <v>6493.7173456645687</v>
      </c>
      <c r="CG130" s="608">
        <f t="shared" si="161"/>
        <v>4.883796430814525E-2</v>
      </c>
      <c r="CH130" s="754">
        <f>'FY 2016 by Agency'!CN131*Inflator!$E$18</f>
        <v>137253</v>
      </c>
      <c r="CI130" s="754">
        <f t="shared" si="162"/>
        <v>-2205.2550297534908</v>
      </c>
      <c r="CJ130" s="397">
        <f t="shared" si="163"/>
        <v>-1.5813011781073832E-2</v>
      </c>
    </row>
    <row r="131" spans="1:169" ht="18" customHeight="1" x14ac:dyDescent="0.25">
      <c r="A131" s="313" t="s">
        <v>241</v>
      </c>
      <c r="B131" s="302">
        <f>'FY 2016 by Agency'!B132*Inflator!$E$2</f>
        <v>71736.764354066981</v>
      </c>
      <c r="C131" s="302">
        <f>'FY 2016 by Agency'!C132*Inflator!$E$3</f>
        <v>190546.91035548688</v>
      </c>
      <c r="D131" s="302">
        <f t="shared" si="144"/>
        <v>118810.1460014199</v>
      </c>
      <c r="E131" s="303">
        <f>(C131-B131)/B131</f>
        <v>1.6561960533237261</v>
      </c>
      <c r="F131" s="204">
        <f>'FY 2016 by Agency'!F132*Inflator!$E$4</f>
        <v>133895.27027027027</v>
      </c>
      <c r="G131" s="204">
        <f t="shared" si="145"/>
        <v>-56651.640085216612</v>
      </c>
      <c r="H131" s="199">
        <f t="shared" si="146"/>
        <v>-0.29731072510977247</v>
      </c>
      <c r="I131" s="204">
        <f>'FY 2016 by Agency'!I132*Inflator!$E$5</f>
        <v>153128.16995165491</v>
      </c>
      <c r="J131" s="204">
        <f t="shared" si="147"/>
        <v>19232.899681384646</v>
      </c>
      <c r="K131" s="199">
        <f>(I131-F131)/F131</f>
        <v>0.14364136718617959</v>
      </c>
      <c r="L131" s="204">
        <f>'FY 2016 by Agency'!L132*Inflator!$E$6</f>
        <v>212131.70010905125</v>
      </c>
      <c r="M131" s="204">
        <f t="shared" si="148"/>
        <v>59003.530157396337</v>
      </c>
      <c r="N131" s="199">
        <f>(L131-I131)/I131</f>
        <v>0.3853211997245492</v>
      </c>
      <c r="O131" s="204">
        <f>'FY 2016 by Agency'!O132*Inflator!$E$7</f>
        <v>238835.40021119322</v>
      </c>
      <c r="P131" s="204">
        <f t="shared" si="149"/>
        <v>26703.700102141971</v>
      </c>
      <c r="Q131" s="304">
        <f>P131/L131</f>
        <v>0.12588264784760747</v>
      </c>
      <c r="R131" s="204">
        <f>'FY 2016 by Agency'!R132*Inflator!$E$8</f>
        <v>277856.60896130349</v>
      </c>
      <c r="S131" s="204">
        <f t="shared" si="150"/>
        <v>39021.208750110265</v>
      </c>
      <c r="T131" s="304">
        <f t="shared" si="151"/>
        <v>0.16338117680882008</v>
      </c>
      <c r="U131" s="204">
        <f>'FY 2016 by Agency'!U132*Inflator!$E$9</f>
        <v>331102.08123342169</v>
      </c>
      <c r="V131" s="204">
        <f t="shared" si="164"/>
        <v>53245.472272118204</v>
      </c>
      <c r="W131" s="304">
        <f t="shared" si="152"/>
        <v>0.19162931726246465</v>
      </c>
      <c r="X131" s="204">
        <f>'FY 2016 by Agency'!X132*Inflator!$E$10</f>
        <v>362330.90663702763</v>
      </c>
      <c r="Y131" s="413">
        <f t="shared" si="153"/>
        <v>31228.825403605937</v>
      </c>
      <c r="Z131" s="304">
        <f t="shared" si="154"/>
        <v>9.4317816690466863E-2</v>
      </c>
      <c r="AA131" s="204">
        <f>'FY 2016 by Agency'!AA132*Inflator!$E$11</f>
        <v>420162.14049060218</v>
      </c>
      <c r="AB131" s="206">
        <f t="shared" si="129"/>
        <v>57831.233853574551</v>
      </c>
      <c r="AC131" s="304">
        <f t="shared" si="130"/>
        <v>0.15960889008982104</v>
      </c>
      <c r="AD131" s="204" t="e">
        <f>'FY 2016 by Agency'!AD132*Inflator!#REF!</f>
        <v>#REF!</v>
      </c>
      <c r="AE131" s="204">
        <f>'FY 2016 by Agency'!AE132*Inflator!$B$8</f>
        <v>0</v>
      </c>
      <c r="AF131" s="204">
        <f>'FY 2016 by Agency'!AF132*Inflator!$E$12</f>
        <v>424238.5761278196</v>
      </c>
      <c r="AG131" s="204">
        <f t="shared" si="131"/>
        <v>4076.4356372174225</v>
      </c>
      <c r="AH131" s="304">
        <f t="shared" si="132"/>
        <v>9.7020536701797402E-3</v>
      </c>
      <c r="AI131" s="204">
        <f>'FY 2016 by Agency'!AI132*Inflator!$B$8</f>
        <v>0</v>
      </c>
      <c r="AJ131" s="204">
        <f>'FY 2016 by Agency'!AJ132*Inflator!$B$8</f>
        <v>0</v>
      </c>
      <c r="AK131" s="204">
        <f>'FY 2016 by Agency'!AK132</f>
        <v>423039</v>
      </c>
      <c r="AL131" s="204">
        <f>'FY 2016 by Agency'!AL132</f>
        <v>0</v>
      </c>
      <c r="AM131" s="204">
        <f>'FY 2016 by Agency'!AM132</f>
        <v>423039</v>
      </c>
      <c r="AN131" s="204">
        <f>'FY 2016 by Agency'!AN132</f>
        <v>433792</v>
      </c>
      <c r="AO131" s="204">
        <f>'FY 2016 by Agency'!AO132</f>
        <v>433792</v>
      </c>
      <c r="AP131" s="204">
        <f>'FY 2016 by Agency'!AP132</f>
        <v>0</v>
      </c>
      <c r="AQ131" s="204">
        <f>'FY 2016 by Agency'!AQ132</f>
        <v>0</v>
      </c>
      <c r="AR131" s="204">
        <f>'FY 2016 by Agency'!AR132</f>
        <v>0</v>
      </c>
      <c r="AS131" s="204">
        <f>'FY 2016 by Agency'!AS132</f>
        <v>440368.37102000002</v>
      </c>
      <c r="AT131" s="204" t="e">
        <f t="shared" si="133"/>
        <v>#REF!</v>
      </c>
      <c r="AU131" s="304" t="e">
        <f t="shared" si="134"/>
        <v>#REF!</v>
      </c>
      <c r="AV131" s="204">
        <f t="shared" si="135"/>
        <v>16129.79489218042</v>
      </c>
      <c r="AW131" s="304">
        <f t="shared" si="136"/>
        <v>3.8020575685037764E-2</v>
      </c>
      <c r="AX131" s="305" t="s">
        <v>434</v>
      </c>
      <c r="AY131" s="200">
        <v>434660.8</v>
      </c>
      <c r="AZ131" s="418">
        <f t="shared" si="137"/>
        <v>868.79999999998836</v>
      </c>
      <c r="BA131" s="418">
        <f t="shared" si="138"/>
        <v>16998.594892180408</v>
      </c>
      <c r="BB131" s="418">
        <f t="shared" si="139"/>
        <v>441237.17102000001</v>
      </c>
      <c r="BC131" s="397">
        <f t="shared" si="140"/>
        <v>4.0068479974953775E-2</v>
      </c>
      <c r="BD131" s="306">
        <v>5043.62</v>
      </c>
      <c r="BE131" s="199">
        <f t="shared" si="155"/>
        <v>1.1603576858092563E-2</v>
      </c>
      <c r="BF131" s="419">
        <v>6822</v>
      </c>
      <c r="BG131" s="419"/>
      <c r="BI131" s="200">
        <v>427839</v>
      </c>
      <c r="BJ131" s="418">
        <f t="shared" si="156"/>
        <v>-6821.7999999999884</v>
      </c>
      <c r="BK131" s="418">
        <f t="shared" si="157"/>
        <v>427839</v>
      </c>
      <c r="BL131" s="307">
        <f>'FY 2016 by Agency'!BB132*Inflator!$E$13</f>
        <v>484176.75947057066</v>
      </c>
      <c r="BM131" s="203">
        <f t="shared" si="158"/>
        <v>59938.183342751057</v>
      </c>
      <c r="BN131" s="362">
        <f t="shared" si="141"/>
        <v>0.14128414226218827</v>
      </c>
      <c r="BO131" s="204">
        <f>'FY 2016 by Agency'!AX132*Inflator!$E$13</f>
        <v>478097.31980469939</v>
      </c>
      <c r="BP131" s="204">
        <f t="shared" si="84"/>
        <v>53858.743676879792</v>
      </c>
      <c r="BQ131" s="199">
        <f t="shared" si="85"/>
        <v>0.12695390449512681</v>
      </c>
      <c r="BR131" s="204">
        <f>'FY 2016 by Agency'!BE132*Inflator!$E$14</f>
        <v>545509.87455303932</v>
      </c>
      <c r="BS131" s="204">
        <f t="shared" si="86"/>
        <v>67412.554748339928</v>
      </c>
      <c r="BT131" s="199">
        <f t="shared" si="87"/>
        <v>0.14100174160331552</v>
      </c>
      <c r="BU131" s="204">
        <f>'FY 2016 by Agency'!BL132*Inflator!$E$14</f>
        <v>545509.87455303932</v>
      </c>
      <c r="BV131" s="203">
        <f t="shared" si="159"/>
        <v>61333.115082468663</v>
      </c>
      <c r="BW131" s="309">
        <v>535364</v>
      </c>
      <c r="BX131" s="206">
        <f>'FY 2016 by Agency'!BW132*Inflator!E15</f>
        <v>565498.82497801224</v>
      </c>
      <c r="BY131" s="204">
        <f>'FY 2016 by Agency'!BZ132*Inflator!$E$15</f>
        <v>635281.46701846959</v>
      </c>
      <c r="BZ131" s="206">
        <f t="shared" si="82"/>
        <v>-10145.874553039321</v>
      </c>
      <c r="CA131" s="199">
        <f t="shared" si="83"/>
        <v>-1.859888340491048E-2</v>
      </c>
      <c r="CB131" s="308">
        <f>'FY 2016 by Agency'!CF132*Inflator!$E$16</f>
        <v>653366.54259312735</v>
      </c>
      <c r="CC131" s="206">
        <f t="shared" si="142"/>
        <v>18085.075574657763</v>
      </c>
      <c r="CD131" s="304">
        <f t="shared" si="143"/>
        <v>2.8467815470102444E-2</v>
      </c>
      <c r="CE131" s="309">
        <f>'FY 2016 by Agency'!CK132*Inflator!$E$17</f>
        <v>687018.28393312567</v>
      </c>
      <c r="CF131" s="309">
        <f t="shared" si="160"/>
        <v>33651.74133999832</v>
      </c>
      <c r="CG131" s="608">
        <f t="shared" si="161"/>
        <v>5.1505149324663775E-2</v>
      </c>
      <c r="CH131" s="754">
        <f>'FY 2016 by Agency'!CN132*Inflator!$E$18</f>
        <v>682666</v>
      </c>
      <c r="CI131" s="754">
        <f t="shared" si="162"/>
        <v>-4352.2839331256691</v>
      </c>
      <c r="CJ131" s="397">
        <f t="shared" si="163"/>
        <v>-6.3350336299773363E-3</v>
      </c>
    </row>
    <row r="132" spans="1:169" ht="18" customHeight="1" x14ac:dyDescent="0.25">
      <c r="A132" s="313" t="s">
        <v>242</v>
      </c>
      <c r="B132" s="302">
        <f>'FY 2016 by Agency'!B133*Inflator!$E$2</f>
        <v>58169.48684210526</v>
      </c>
      <c r="C132" s="302">
        <f>'FY 2016 by Agency'!C133*Inflator!$E$3</f>
        <v>65339.875965996915</v>
      </c>
      <c r="D132" s="302">
        <f t="shared" si="144"/>
        <v>7170.3891238916549</v>
      </c>
      <c r="E132" s="303">
        <f>(C132-B132)/B132</f>
        <v>0.12326718891907876</v>
      </c>
      <c r="F132" s="204">
        <f>'FY 2016 by Agency'!F133*Inflator!$E$4</f>
        <v>76898.74533688619</v>
      </c>
      <c r="G132" s="204">
        <f t="shared" si="145"/>
        <v>11558.869370889275</v>
      </c>
      <c r="H132" s="199">
        <f t="shared" si="146"/>
        <v>0.17690375440725581</v>
      </c>
      <c r="I132" s="204">
        <f>'FY 2016 by Agency'!I133*Inflator!$E$5</f>
        <v>67724.072889550022</v>
      </c>
      <c r="J132" s="204">
        <f t="shared" si="147"/>
        <v>-9174.6724473361683</v>
      </c>
      <c r="K132" s="199">
        <f>(I132-F132)/F132</f>
        <v>-0.1193084803548197</v>
      </c>
      <c r="L132" s="204">
        <f>'FY 2016 by Agency'!L133*Inflator!$E$6</f>
        <v>66612.934569247547</v>
      </c>
      <c r="M132" s="204">
        <f t="shared" si="148"/>
        <v>-1111.1383203024743</v>
      </c>
      <c r="N132" s="199">
        <f>(L132-I132)/I132</f>
        <v>-1.6406844315382654E-2</v>
      </c>
      <c r="O132" s="204">
        <f>'FY 2016 by Agency'!O133*Inflator!$E$7</f>
        <v>65415.819429778239</v>
      </c>
      <c r="P132" s="204">
        <f t="shared" si="149"/>
        <v>-1197.1151394693079</v>
      </c>
      <c r="Q132" s="304">
        <f>P132/L132</f>
        <v>-1.7971211555390127E-2</v>
      </c>
      <c r="R132" s="204">
        <f>'FY 2016 by Agency'!R133*Inflator!$E$8</f>
        <v>74929.191446028519</v>
      </c>
      <c r="S132" s="204">
        <f t="shared" si="150"/>
        <v>9513.3720162502796</v>
      </c>
      <c r="T132" s="304">
        <f t="shared" si="151"/>
        <v>0.14542922643448006</v>
      </c>
      <c r="U132" s="204">
        <f>'FY 2016 by Agency'!U133*Inflator!$E$9</f>
        <v>74826.759946949591</v>
      </c>
      <c r="V132" s="204">
        <f t="shared" si="164"/>
        <v>-102.43149907892803</v>
      </c>
      <c r="W132" s="304">
        <f t="shared" si="152"/>
        <v>-1.3670439664721248E-3</v>
      </c>
      <c r="X132" s="204">
        <f>'FY 2016 by Agency'!X133*Inflator!$E$10</f>
        <v>71819.723721816452</v>
      </c>
      <c r="Y132" s="413">
        <f t="shared" si="153"/>
        <v>-3007.0362251331389</v>
      </c>
      <c r="Z132" s="304">
        <f t="shared" si="154"/>
        <v>-4.0186642148678585E-2</v>
      </c>
      <c r="AA132" s="204">
        <f>'FY 2016 by Agency'!AA133*Inflator!$E$11</f>
        <v>71245.049378783064</v>
      </c>
      <c r="AB132" s="206">
        <f t="shared" si="129"/>
        <v>-574.67434303338814</v>
      </c>
      <c r="AC132" s="304">
        <f t="shared" si="130"/>
        <v>-8.0016228586357145E-3</v>
      </c>
      <c r="AD132" s="204" t="e">
        <f>'FY 2016 by Agency'!AD133*Inflator!#REF!</f>
        <v>#REF!</v>
      </c>
      <c r="AE132" s="204">
        <f>'FY 2016 by Agency'!AE133*Inflator!$B$8</f>
        <v>0</v>
      </c>
      <c r="AF132" s="204">
        <f>'FY 2016 by Agency'!AF133*Inflator!$E$12</f>
        <v>70062.095864661664</v>
      </c>
      <c r="AG132" s="204">
        <f t="shared" si="131"/>
        <v>-1182.9535141214001</v>
      </c>
      <c r="AH132" s="304">
        <f t="shared" si="132"/>
        <v>-1.6604010025062687E-2</v>
      </c>
      <c r="AI132" s="204">
        <f>'FY 2016 by Agency'!AI133*Inflator!$B$8</f>
        <v>0</v>
      </c>
      <c r="AJ132" s="204">
        <f>'FY 2016 by Agency'!AJ133*Inflator!$B$8</f>
        <v>0</v>
      </c>
      <c r="AK132" s="204">
        <f>'FY 2016 by Agency'!AK133</f>
        <v>63436</v>
      </c>
      <c r="AL132" s="204">
        <f>'FY 2016 by Agency'!AL133</f>
        <v>0</v>
      </c>
      <c r="AM132" s="204">
        <f>'FY 2016 by Agency'!AM133</f>
        <v>63436</v>
      </c>
      <c r="AN132" s="204">
        <f>'FY 2016 by Agency'!AN133</f>
        <v>62070</v>
      </c>
      <c r="AO132" s="204">
        <f>'FY 2016 by Agency'!AO133</f>
        <v>62070</v>
      </c>
      <c r="AP132" s="204">
        <f>'FY 2016 by Agency'!AP133</f>
        <v>0</v>
      </c>
      <c r="AQ132" s="204">
        <f>'FY 2016 by Agency'!AQ133</f>
        <v>0</v>
      </c>
      <c r="AR132" s="204">
        <f>'FY 2016 by Agency'!AR133</f>
        <v>0</v>
      </c>
      <c r="AS132" s="204">
        <f>'FY 2016 by Agency'!AS133</f>
        <v>66420</v>
      </c>
      <c r="AT132" s="204" t="e">
        <f t="shared" si="133"/>
        <v>#REF!</v>
      </c>
      <c r="AU132" s="304" t="e">
        <f t="shared" si="134"/>
        <v>#REF!</v>
      </c>
      <c r="AV132" s="204">
        <f t="shared" si="135"/>
        <v>-3642.0958646616637</v>
      </c>
      <c r="AW132" s="304">
        <f t="shared" si="136"/>
        <v>-5.1983826914014507E-2</v>
      </c>
      <c r="AX132" s="305" t="s">
        <v>435</v>
      </c>
      <c r="AY132" s="200">
        <v>62920</v>
      </c>
      <c r="AZ132" s="418">
        <f t="shared" si="137"/>
        <v>850</v>
      </c>
      <c r="BA132" s="418">
        <f t="shared" si="138"/>
        <v>-2792.0958646616637</v>
      </c>
      <c r="BB132" s="418">
        <f t="shared" si="139"/>
        <v>67270</v>
      </c>
      <c r="BC132" s="397">
        <f t="shared" si="140"/>
        <v>-3.9851731955822922E-2</v>
      </c>
      <c r="BD132" s="306">
        <v>6292</v>
      </c>
      <c r="BE132" s="199">
        <f t="shared" si="155"/>
        <v>0.1</v>
      </c>
      <c r="BF132" s="419"/>
      <c r="BG132" s="419"/>
      <c r="BI132" s="200">
        <v>62920</v>
      </c>
      <c r="BJ132" s="418">
        <f t="shared" si="156"/>
        <v>0</v>
      </c>
      <c r="BK132" s="418">
        <f t="shared" si="157"/>
        <v>62920</v>
      </c>
      <c r="BL132" s="307">
        <f>'FY 2016 by Agency'!BB133*Inflator!$E$13</f>
        <v>73027.543484894719</v>
      </c>
      <c r="BM132" s="203">
        <f t="shared" si="158"/>
        <v>2965.4476202330552</v>
      </c>
      <c r="BN132" s="362">
        <f t="shared" si="141"/>
        <v>4.2325990732012701E-2</v>
      </c>
      <c r="BO132" s="204">
        <f>'FY 2016 by Agency'!AX133*Inflator!$E$13</f>
        <v>69179.359169972537</v>
      </c>
      <c r="BP132" s="204">
        <f t="shared" si="84"/>
        <v>-882.73669468912703</v>
      </c>
      <c r="BQ132" s="199">
        <f t="shared" si="85"/>
        <v>-1.2599347532998467E-2</v>
      </c>
      <c r="BR132" s="204">
        <f>'FY 2016 by Agency'!BE133*Inflator!$E$14</f>
        <v>72319.811084624554</v>
      </c>
      <c r="BS132" s="204">
        <f t="shared" si="86"/>
        <v>3140.4519146520179</v>
      </c>
      <c r="BT132" s="199">
        <f t="shared" si="87"/>
        <v>4.5395793663482481E-2</v>
      </c>
      <c r="BU132" s="204">
        <f>'FY 2016 by Agency'!BL133*Inflator!$E$14</f>
        <v>72319.811084624554</v>
      </c>
      <c r="BV132" s="203">
        <f t="shared" si="159"/>
        <v>-707.73240027016436</v>
      </c>
      <c r="BW132" s="206">
        <v>64955</v>
      </c>
      <c r="BX132" s="206">
        <f>'FY 2016 by Agency'!BW133*Inflator!E15</f>
        <v>68668.257695690409</v>
      </c>
      <c r="BY132" s="204">
        <f>'FY 2016 by Agency'!BZ133*Inflator!$E$15</f>
        <v>69244.991204925231</v>
      </c>
      <c r="BZ132" s="206">
        <f t="shared" si="82"/>
        <v>-7364.8110846245545</v>
      </c>
      <c r="CA132" s="199">
        <f t="shared" si="83"/>
        <v>-0.10183670247709399</v>
      </c>
      <c r="CB132" s="308">
        <f>'FY 2016 by Agency'!CF133*Inflator!$E$16</f>
        <v>69387.142073346797</v>
      </c>
      <c r="CC132" s="206">
        <f t="shared" si="142"/>
        <v>142.15086842156597</v>
      </c>
      <c r="CD132" s="304">
        <f t="shared" si="143"/>
        <v>2.0528686038948493E-3</v>
      </c>
      <c r="CE132" s="309">
        <f>'FY 2016 by Agency'!CK133*Inflator!$E$17</f>
        <v>73977.379994332674</v>
      </c>
      <c r="CF132" s="309">
        <f t="shared" si="160"/>
        <v>4590.2379209858773</v>
      </c>
      <c r="CG132" s="608">
        <f t="shared" si="161"/>
        <v>6.6154013320417385E-2</v>
      </c>
      <c r="CH132" s="754">
        <f>'FY 2016 by Agency'!CN133*Inflator!$E$18</f>
        <v>67433</v>
      </c>
      <c r="CI132" s="754">
        <f t="shared" si="162"/>
        <v>-6544.379994332674</v>
      </c>
      <c r="CJ132" s="397">
        <f t="shared" si="163"/>
        <v>-8.8464608976879577E-2</v>
      </c>
    </row>
    <row r="133" spans="1:169" s="317" customFormat="1" ht="18" customHeight="1" x14ac:dyDescent="0.25">
      <c r="A133" s="317" t="s">
        <v>243</v>
      </c>
      <c r="B133" s="302">
        <f>'FY 2016 by Agency'!B134*Inflator!$E$2</f>
        <v>34593.397129186604</v>
      </c>
      <c r="C133" s="302">
        <f>'FY 2016 by Agency'!C134*Inflator!$E$3</f>
        <v>37035.164605873266</v>
      </c>
      <c r="D133" s="302">
        <f t="shared" si="144"/>
        <v>2441.7674766866621</v>
      </c>
      <c r="E133" s="303">
        <f>(C133-B133)/B133</f>
        <v>7.0584784361248293E-2</v>
      </c>
      <c r="F133" s="204">
        <f>'FY 2016 by Agency'!F134*Inflator!$E$4</f>
        <v>35899.704986676821</v>
      </c>
      <c r="G133" s="204">
        <f t="shared" si="145"/>
        <v>-1135.4596191964447</v>
      </c>
      <c r="H133" s="199">
        <f t="shared" si="146"/>
        <v>-3.0658959701677049E-2</v>
      </c>
      <c r="I133" s="204">
        <f>'FY 2016 by Agency'!I134*Inflator!$E$5</f>
        <v>34793.269245072523</v>
      </c>
      <c r="J133" s="204">
        <f t="shared" si="147"/>
        <v>-1106.4357416042985</v>
      </c>
      <c r="K133" s="199">
        <f>(I133-F133)/F133</f>
        <v>-3.0820190361311367E-2</v>
      </c>
      <c r="L133" s="204">
        <f>'FY 2016 by Agency'!L134*Inflator!$E$6</f>
        <v>35644.946564885497</v>
      </c>
      <c r="M133" s="204">
        <f t="shared" si="148"/>
        <v>851.67731981297402</v>
      </c>
      <c r="N133" s="199">
        <f>(L133-I133)/I133</f>
        <v>2.4478220595312121E-2</v>
      </c>
      <c r="O133" s="204">
        <f>'FY 2016 by Agency'!O134*Inflator!$E$7</f>
        <v>38265.863780359025</v>
      </c>
      <c r="P133" s="315">
        <f t="shared" si="149"/>
        <v>2620.9172154735279</v>
      </c>
      <c r="Q133" s="316">
        <f>P133/L133</f>
        <v>7.352843721346583E-2</v>
      </c>
      <c r="R133" s="204">
        <f>'FY 2016 by Agency'!R134*Inflator!$E$8</f>
        <v>42607.370672097764</v>
      </c>
      <c r="S133" s="315">
        <f t="shared" si="150"/>
        <v>4341.5068917387398</v>
      </c>
      <c r="T133" s="316">
        <f t="shared" si="151"/>
        <v>0.11345639331855704</v>
      </c>
      <c r="U133" s="204">
        <f>'FY 2016 by Agency'!U134*Inflator!$E$9</f>
        <v>50983.166777188322</v>
      </c>
      <c r="V133" s="315">
        <f t="shared" si="164"/>
        <v>8375.7961050905578</v>
      </c>
      <c r="W133" s="316">
        <f t="shared" si="152"/>
        <v>0.19658091952094112</v>
      </c>
      <c r="X133" s="204">
        <f>'FY 2016 by Agency'!X134*Inflator!$E$10</f>
        <v>51468.322959669742</v>
      </c>
      <c r="Y133" s="413">
        <f t="shared" si="153"/>
        <v>485.15618248141982</v>
      </c>
      <c r="Z133" s="304">
        <f t="shared" si="154"/>
        <v>9.5160072068825648E-3</v>
      </c>
      <c r="AA133" s="204">
        <f>'FY 2016 by Agency'!AA134*Inflator!$E$11</f>
        <v>51844.633322714246</v>
      </c>
      <c r="AB133" s="206">
        <f t="shared" si="129"/>
        <v>376.3103630445039</v>
      </c>
      <c r="AC133" s="304">
        <f t="shared" si="130"/>
        <v>7.311494554415118E-3</v>
      </c>
      <c r="AD133" s="204" t="e">
        <f>'FY 2016 by Agency'!AD134*Inflator!#REF!</f>
        <v>#REF!</v>
      </c>
      <c r="AE133" s="204">
        <f>'FY 2016 by Agency'!AE134*Inflator!$B$8</f>
        <v>0</v>
      </c>
      <c r="AF133" s="204">
        <f>'FY 2016 by Agency'!AF134*Inflator!$E$12</f>
        <v>44668.395676691733</v>
      </c>
      <c r="AG133" s="204">
        <f t="shared" si="131"/>
        <v>-7176.2376460225132</v>
      </c>
      <c r="AH133" s="304">
        <f t="shared" si="132"/>
        <v>-0.13841813869823338</v>
      </c>
      <c r="AI133" s="204">
        <f>'FY 2016 by Agency'!AI134*Inflator!$B$8</f>
        <v>0</v>
      </c>
      <c r="AJ133" s="204">
        <f>'FY 2016 by Agency'!AJ134*Inflator!$B$8</f>
        <v>0</v>
      </c>
      <c r="AK133" s="204">
        <f>'FY 2016 by Agency'!AK134</f>
        <v>44046</v>
      </c>
      <c r="AL133" s="204">
        <f>'FY 2016 by Agency'!AL134</f>
        <v>0</v>
      </c>
      <c r="AM133" s="204">
        <f>'FY 2016 by Agency'!AM134</f>
        <v>44046</v>
      </c>
      <c r="AN133" s="204">
        <f>'FY 2016 by Agency'!AN134</f>
        <v>35764</v>
      </c>
      <c r="AO133" s="204">
        <f>'FY 2016 by Agency'!AO134</f>
        <v>36757</v>
      </c>
      <c r="AP133" s="204">
        <f>'FY 2016 by Agency'!AP134</f>
        <v>3805</v>
      </c>
      <c r="AQ133" s="204">
        <f>'FY 2016 by Agency'!AQ134</f>
        <v>94</v>
      </c>
      <c r="AR133" s="204">
        <f>'FY 2016 by Agency'!AR134</f>
        <v>3899</v>
      </c>
      <c r="AS133" s="204">
        <f>'FY 2016 by Agency'!AS134</f>
        <v>39342.0893</v>
      </c>
      <c r="AT133" s="204" t="e">
        <f t="shared" si="133"/>
        <v>#REF!</v>
      </c>
      <c r="AU133" s="304" t="e">
        <f t="shared" si="134"/>
        <v>#REF!</v>
      </c>
      <c r="AV133" s="204">
        <f t="shared" si="135"/>
        <v>-5326.306376691733</v>
      </c>
      <c r="AW133" s="304">
        <f t="shared" si="136"/>
        <v>-0.11924104942660914</v>
      </c>
      <c r="AX133" s="305" t="s">
        <v>436</v>
      </c>
      <c r="AY133" s="200">
        <v>37399.906669999997</v>
      </c>
      <c r="AZ133" s="418">
        <f t="shared" si="137"/>
        <v>642.90666999999667</v>
      </c>
      <c r="BA133" s="418">
        <f t="shared" si="138"/>
        <v>-4683.3997066917364</v>
      </c>
      <c r="BB133" s="418">
        <f t="shared" si="139"/>
        <v>39984.995969999996</v>
      </c>
      <c r="BC133" s="397">
        <f t="shared" si="140"/>
        <v>-0.1048481736525757</v>
      </c>
      <c r="BD133" s="306">
        <v>0</v>
      </c>
      <c r="BE133" s="199">
        <f t="shared" si="155"/>
        <v>0</v>
      </c>
      <c r="BF133" s="419">
        <v>792</v>
      </c>
      <c r="BG133" s="419"/>
      <c r="BH133" s="317">
        <v>60</v>
      </c>
      <c r="BI133" s="318">
        <v>36097</v>
      </c>
      <c r="BJ133" s="418">
        <f t="shared" si="156"/>
        <v>-1302.9066699999967</v>
      </c>
      <c r="BK133" s="418">
        <f t="shared" si="157"/>
        <v>39996</v>
      </c>
      <c r="BL133" s="307">
        <f>'FY 2016 by Agency'!BB134*Inflator!$E$13</f>
        <v>38969.011519041807</v>
      </c>
      <c r="BM133" s="203">
        <f t="shared" si="158"/>
        <v>-5699.3841576499253</v>
      </c>
      <c r="BN133" s="362">
        <f t="shared" si="141"/>
        <v>-0.12759321375457194</v>
      </c>
      <c r="BO133" s="204">
        <f>'FY 2016 by Agency'!AX134*Inflator!$E$13</f>
        <v>39687.974061641748</v>
      </c>
      <c r="BP133" s="204">
        <f t="shared" si="84"/>
        <v>-4980.4216150499851</v>
      </c>
      <c r="BQ133" s="199">
        <f t="shared" si="85"/>
        <v>-0.11149766047337138</v>
      </c>
      <c r="BR133" s="204">
        <f>'FY 2016 by Agency'!BE134*Inflator!$E$14</f>
        <v>38132.107866507744</v>
      </c>
      <c r="BS133" s="204">
        <f t="shared" si="86"/>
        <v>-1555.8661951340036</v>
      </c>
      <c r="BT133" s="199">
        <f t="shared" si="87"/>
        <v>-3.920245948350741E-2</v>
      </c>
      <c r="BU133" s="315">
        <f>'FY 2016 by Agency'!BL134*Inflator!$E$14</f>
        <v>41296.005661501782</v>
      </c>
      <c r="BV133" s="203">
        <f t="shared" si="159"/>
        <v>2326.9941424599747</v>
      </c>
      <c r="BW133" s="309">
        <v>40047</v>
      </c>
      <c r="BX133" s="206">
        <f>'FY 2016 by Agency'!BW134*Inflator!E15</f>
        <v>45067.181706244497</v>
      </c>
      <c r="BY133" s="204">
        <f>'FY 2016 by Agency'!BZ134*Inflator!$E$15</f>
        <v>43954.276165347401</v>
      </c>
      <c r="BZ133" s="206">
        <f t="shared" si="82"/>
        <v>1914.8921334922561</v>
      </c>
      <c r="CA133" s="199">
        <f t="shared" si="83"/>
        <v>5.0217316603526851E-2</v>
      </c>
      <c r="CB133" s="308">
        <f>'FY 2016 by Agency'!CF134*Inflator!$E$16</f>
        <v>55559.862258157664</v>
      </c>
      <c r="CC133" s="206">
        <f t="shared" si="142"/>
        <v>11605.586092810263</v>
      </c>
      <c r="CD133" s="304">
        <f t="shared" si="143"/>
        <v>0.26403770247864655</v>
      </c>
      <c r="CE133" s="309">
        <f>'FY 2016 by Agency'!CK134*Inflator!$E$17</f>
        <v>58016.569849815816</v>
      </c>
      <c r="CF133" s="309">
        <f t="shared" si="160"/>
        <v>2456.7075916581525</v>
      </c>
      <c r="CG133" s="608">
        <f t="shared" si="161"/>
        <v>4.4217308895459738E-2</v>
      </c>
      <c r="CH133" s="754">
        <f>'FY 2016 by Agency'!CN134*Inflator!$E$18</f>
        <v>54715</v>
      </c>
      <c r="CI133" s="754">
        <f t="shared" si="162"/>
        <v>-3301.5698498158163</v>
      </c>
      <c r="CJ133" s="397">
        <f t="shared" si="163"/>
        <v>-5.6907360403457181E-2</v>
      </c>
    </row>
    <row r="134" spans="1:169" s="317" customFormat="1" ht="18" customHeight="1" x14ac:dyDescent="0.25">
      <c r="A134" s="317" t="s">
        <v>244</v>
      </c>
      <c r="B134" s="415" t="s">
        <v>132</v>
      </c>
      <c r="C134" s="415" t="s">
        <v>132</v>
      </c>
      <c r="D134" s="415" t="s">
        <v>132</v>
      </c>
      <c r="E134" s="415" t="s">
        <v>132</v>
      </c>
      <c r="F134" s="415" t="s">
        <v>132</v>
      </c>
      <c r="G134" s="415" t="s">
        <v>132</v>
      </c>
      <c r="H134" s="415" t="s">
        <v>132</v>
      </c>
      <c r="I134" s="415" t="s">
        <v>132</v>
      </c>
      <c r="J134" s="415" t="s">
        <v>132</v>
      </c>
      <c r="K134" s="415" t="s">
        <v>132</v>
      </c>
      <c r="L134" s="204">
        <f>'FY 2016 by Agency'!L135*Inflator!$E$6</f>
        <v>0</v>
      </c>
      <c r="M134" s="415" t="s">
        <v>132</v>
      </c>
      <c r="N134" s="415" t="s">
        <v>132</v>
      </c>
      <c r="O134" s="204">
        <f>'FY 2016 by Agency'!O135*Inflator!$E$7</f>
        <v>0</v>
      </c>
      <c r="P134" s="315">
        <f t="shared" si="149"/>
        <v>0</v>
      </c>
      <c r="Q134" s="395" t="s">
        <v>132</v>
      </c>
      <c r="R134" s="204">
        <f>'FY 2016 by Agency'!R135*Inflator!$E$8</f>
        <v>0</v>
      </c>
      <c r="S134" s="315">
        <f t="shared" si="150"/>
        <v>0</v>
      </c>
      <c r="T134" s="395" t="s">
        <v>132</v>
      </c>
      <c r="U134" s="204">
        <f>'FY 2016 by Agency'!U135*Inflator!$E$9</f>
        <v>0</v>
      </c>
      <c r="V134" s="315">
        <f t="shared" si="164"/>
        <v>0</v>
      </c>
      <c r="W134" s="395" t="s">
        <v>132</v>
      </c>
      <c r="X134" s="204">
        <f>'FY 2016 by Agency'!X135*Inflator!$E$10</f>
        <v>1966.8329628453478</v>
      </c>
      <c r="Y134" s="413">
        <f t="shared" si="153"/>
        <v>1966.8329628453478</v>
      </c>
      <c r="Z134" s="311" t="s">
        <v>405</v>
      </c>
      <c r="AA134" s="204">
        <f>'FY 2016 by Agency'!AA135*Inflator!$E$11</f>
        <v>3971.44950621217</v>
      </c>
      <c r="AB134" s="206">
        <f t="shared" si="129"/>
        <v>2004.6165433668223</v>
      </c>
      <c r="AC134" s="304">
        <f t="shared" si="130"/>
        <v>1.0192103657174905</v>
      </c>
      <c r="AD134" s="204" t="e">
        <f>'FY 2016 by Agency'!AD135*Inflator!#REF!</f>
        <v>#REF!</v>
      </c>
      <c r="AE134" s="204">
        <f>'FY 2016 by Agency'!AE135*Inflator!$B$8</f>
        <v>0</v>
      </c>
      <c r="AF134" s="204">
        <f>'FY 2016 by Agency'!AF135*Inflator!$E$12</f>
        <v>1811.6588345864664</v>
      </c>
      <c r="AG134" s="204">
        <f t="shared" si="131"/>
        <v>-2159.7906716257039</v>
      </c>
      <c r="AH134" s="304">
        <f t="shared" si="132"/>
        <v>-0.54382931678908264</v>
      </c>
      <c r="AI134" s="204">
        <f>'FY 2016 by Agency'!AI135*Inflator!$B$8</f>
        <v>0</v>
      </c>
      <c r="AJ134" s="204">
        <f>'FY 2016 by Agency'!AJ135*Inflator!$B$8</f>
        <v>0</v>
      </c>
      <c r="AK134" s="204">
        <f>'FY 2016 by Agency'!AK135</f>
        <v>1662</v>
      </c>
      <c r="AL134" s="204">
        <f>'FY 2016 by Agency'!AL135</f>
        <v>0</v>
      </c>
      <c r="AM134" s="204">
        <f>'FY 2016 by Agency'!AM135</f>
        <v>1662</v>
      </c>
      <c r="AN134" s="204">
        <f>'FY 2016 by Agency'!AN135</f>
        <v>1468</v>
      </c>
      <c r="AO134" s="204">
        <f>'FY 2016 by Agency'!AO135</f>
        <v>3637</v>
      </c>
      <c r="AP134" s="204">
        <f>'FY 2016 by Agency'!AP135</f>
        <v>0</v>
      </c>
      <c r="AQ134" s="204">
        <f>'FY 2016 by Agency'!AQ135</f>
        <v>0</v>
      </c>
      <c r="AR134" s="204">
        <f>'FY 2016 by Agency'!AR135</f>
        <v>0</v>
      </c>
      <c r="AS134" s="204">
        <f>'FY 2016 by Agency'!AS135</f>
        <v>1303.9581000000001</v>
      </c>
      <c r="AT134" s="204" t="e">
        <f t="shared" si="133"/>
        <v>#REF!</v>
      </c>
      <c r="AU134" s="304" t="e">
        <f t="shared" si="134"/>
        <v>#REF!</v>
      </c>
      <c r="AV134" s="204">
        <f t="shared" si="135"/>
        <v>-507.7007345864663</v>
      </c>
      <c r="AW134" s="304">
        <f t="shared" si="136"/>
        <v>-0.28024080742683283</v>
      </c>
      <c r="AX134" s="305" t="s">
        <v>437</v>
      </c>
      <c r="AY134" s="318">
        <v>3637</v>
      </c>
      <c r="AZ134" s="418">
        <f t="shared" si="137"/>
        <v>0</v>
      </c>
      <c r="BA134" s="418">
        <f t="shared" si="138"/>
        <v>-507.7007345864663</v>
      </c>
      <c r="BB134" s="418">
        <f t="shared" si="139"/>
        <v>1303.9581000000001</v>
      </c>
      <c r="BC134" s="397">
        <f t="shared" si="140"/>
        <v>-0.28024080742683277</v>
      </c>
      <c r="BD134" s="306">
        <v>0</v>
      </c>
      <c r="BE134" s="199">
        <f t="shared" si="155"/>
        <v>0</v>
      </c>
      <c r="BF134" s="419">
        <v>147</v>
      </c>
      <c r="BG134" s="419"/>
      <c r="BI134" s="319">
        <v>3490</v>
      </c>
      <c r="BJ134" s="418">
        <f t="shared" si="156"/>
        <v>-147</v>
      </c>
      <c r="BK134" s="418">
        <f t="shared" si="157"/>
        <v>3490</v>
      </c>
      <c r="BL134" s="307">
        <f>'FY 2016 by Agency'!BB135*Inflator!$E$13</f>
        <v>1433.6774593530668</v>
      </c>
      <c r="BM134" s="203">
        <f t="shared" si="158"/>
        <v>-377.9813752333996</v>
      </c>
      <c r="BN134" s="362">
        <f t="shared" si="141"/>
        <v>-0.20863827560539486</v>
      </c>
      <c r="BO134" s="204">
        <f>'FY 2016 by Agency'!AX135*Inflator!$E$13</f>
        <v>3837.1895025938356</v>
      </c>
      <c r="BP134" s="204">
        <f t="shared" si="84"/>
        <v>2025.5306680073693</v>
      </c>
      <c r="BQ134" s="199">
        <f t="shared" si="85"/>
        <v>1.1180530403064117</v>
      </c>
      <c r="BR134" s="204">
        <f>'FY 2016 by Agency'!BE135*Inflator!$E$14</f>
        <v>1143.3834922526817</v>
      </c>
      <c r="BS134" s="204">
        <f t="shared" si="86"/>
        <v>-2693.806010341154</v>
      </c>
      <c r="BT134" s="199">
        <f t="shared" si="87"/>
        <v>-0.7020257947959605</v>
      </c>
      <c r="BU134" s="315">
        <f>'FY 2016 by Agency'!BL135*Inflator!$E$14</f>
        <v>1143.3834922526817</v>
      </c>
      <c r="BV134" s="203">
        <f t="shared" si="159"/>
        <v>-290.29396710038509</v>
      </c>
      <c r="BW134" s="206">
        <v>3495</v>
      </c>
      <c r="BX134" s="206">
        <f>'FY 2016 by Agency'!BW135*Inflator!E15</f>
        <v>3691.7282321899734</v>
      </c>
      <c r="BY134" s="204">
        <f>'FY 2016 by Agency'!BZ135*Inflator!$E$15</f>
        <v>1136.5664028144238</v>
      </c>
      <c r="BZ134" s="206">
        <f t="shared" si="82"/>
        <v>2351.6165077473183</v>
      </c>
      <c r="CA134" s="199">
        <f t="shared" si="83"/>
        <v>2.0567172114005157</v>
      </c>
      <c r="CB134" s="308">
        <f>'FY 2016 by Agency'!CF135*Inflator!$E$16</f>
        <v>1205.8553277505052</v>
      </c>
      <c r="CC134" s="206">
        <f t="shared" si="142"/>
        <v>69.288924936081457</v>
      </c>
      <c r="CD134" s="304">
        <f t="shared" si="143"/>
        <v>6.0963375975662031E-2</v>
      </c>
      <c r="CE134" s="309">
        <f>'FY 2016 by Agency'!CK135*Inflator!$E$17</f>
        <v>6882.352791158969</v>
      </c>
      <c r="CF134" s="309">
        <f t="shared" si="160"/>
        <v>5676.4974634084638</v>
      </c>
      <c r="CG134" s="608">
        <f t="shared" si="161"/>
        <v>4.7074448590759523</v>
      </c>
      <c r="CH134" s="754">
        <f>'FY 2016 by Agency'!CN135*Inflator!$E$18</f>
        <v>8000</v>
      </c>
      <c r="CI134" s="754">
        <f t="shared" si="162"/>
        <v>1117.647208841031</v>
      </c>
      <c r="CJ134" s="397">
        <f t="shared" si="163"/>
        <v>0.16239318773032882</v>
      </c>
    </row>
    <row r="135" spans="1:169" s="317" customFormat="1" ht="18" customHeight="1" x14ac:dyDescent="0.25">
      <c r="A135" s="317" t="s">
        <v>186</v>
      </c>
      <c r="B135" s="302">
        <f>'FY 2016 by Agency'!B136*Inflator!$E$2</f>
        <v>2906.2476076555022</v>
      </c>
      <c r="C135" s="302">
        <f>'FY 2016 by Agency'!C136*Inflator!$E$3</f>
        <v>2639.6012364760436</v>
      </c>
      <c r="D135" s="302">
        <f>C135-B135</f>
        <v>-266.64637117945858</v>
      </c>
      <c r="E135" s="303">
        <f>(C135-B135)/B135</f>
        <v>-9.1749364533521199E-2</v>
      </c>
      <c r="F135" s="204">
        <f>'FY 2016 by Agency'!F136*Inflator!$E$4</f>
        <v>2972.0978302245908</v>
      </c>
      <c r="G135" s="204">
        <f>F135-C135</f>
        <v>332.49659374854718</v>
      </c>
      <c r="H135" s="199">
        <f>(F135-C135)/C135</f>
        <v>0.12596470601462564</v>
      </c>
      <c r="I135" s="204">
        <f>'FY 2016 by Agency'!I136*Inflator!$E$5</f>
        <v>2703.9248791372261</v>
      </c>
      <c r="J135" s="204">
        <f>I135-F135</f>
        <v>-268.17295108736471</v>
      </c>
      <c r="K135" s="199">
        <f>(I135-F135)/F135</f>
        <v>-9.0230189719932546E-2</v>
      </c>
      <c r="L135" s="204">
        <f>'FY 2016 by Agency'!L136*Inflator!$E$6</f>
        <v>0</v>
      </c>
      <c r="M135" s="204">
        <f>L135-I135</f>
        <v>-2703.9248791372261</v>
      </c>
      <c r="N135" s="199">
        <f>(L135-I135)/I135</f>
        <v>-1</v>
      </c>
      <c r="O135" s="204"/>
      <c r="P135" s="315"/>
      <c r="Q135" s="395"/>
      <c r="R135" s="204"/>
      <c r="S135" s="315"/>
      <c r="T135" s="395"/>
      <c r="U135" s="204">
        <f>'FY 2016 by Agency'!U136*Inflator!$E$9</f>
        <v>0</v>
      </c>
      <c r="V135" s="315"/>
      <c r="W135" s="395"/>
      <c r="X135" s="204"/>
      <c r="Y135" s="413"/>
      <c r="Z135" s="311"/>
      <c r="AA135" s="204"/>
      <c r="AB135" s="206"/>
      <c r="AC135" s="304"/>
      <c r="AD135" s="204"/>
      <c r="AE135" s="204"/>
      <c r="AF135" s="204"/>
      <c r="AG135" s="204"/>
      <c r="AH135" s="304"/>
      <c r="AI135" s="204"/>
      <c r="AJ135" s="204"/>
      <c r="AK135" s="204"/>
      <c r="AL135" s="204"/>
      <c r="AM135" s="204"/>
      <c r="AN135" s="204"/>
      <c r="AO135" s="204"/>
      <c r="AP135" s="204"/>
      <c r="AQ135" s="204"/>
      <c r="AR135" s="204"/>
      <c r="AS135" s="204"/>
      <c r="AT135" s="204"/>
      <c r="AU135" s="304"/>
      <c r="AV135" s="204"/>
      <c r="AW135" s="304"/>
      <c r="AX135" s="305"/>
      <c r="AY135" s="318"/>
      <c r="AZ135" s="418"/>
      <c r="BA135" s="418"/>
      <c r="BB135" s="418"/>
      <c r="BC135" s="397"/>
      <c r="BD135" s="306"/>
      <c r="BE135" s="199"/>
      <c r="BF135" s="419"/>
      <c r="BG135" s="419"/>
      <c r="BI135" s="319"/>
      <c r="BJ135" s="418"/>
      <c r="BK135" s="418">
        <f t="shared" si="157"/>
        <v>0</v>
      </c>
      <c r="BL135" s="307">
        <f>'FY 2016 by Agency'!BB136*Inflator!$E$13</f>
        <v>0</v>
      </c>
      <c r="BM135" s="203">
        <f t="shared" si="158"/>
        <v>0</v>
      </c>
      <c r="BN135" s="362" t="e">
        <f t="shared" si="141"/>
        <v>#DIV/0!</v>
      </c>
      <c r="BO135" s="204">
        <f>'FY 2016 by Agency'!AX136*Inflator!$E$13</f>
        <v>0</v>
      </c>
      <c r="BP135" s="204">
        <f t="shared" si="84"/>
        <v>0</v>
      </c>
      <c r="BQ135" s="199" t="e">
        <f t="shared" si="85"/>
        <v>#DIV/0!</v>
      </c>
      <c r="BR135" s="204">
        <f>'FY 2016 by Agency'!BE136*Inflator!$E$14</f>
        <v>0</v>
      </c>
      <c r="BS135" s="204">
        <f t="shared" si="86"/>
        <v>0</v>
      </c>
      <c r="BT135" s="199" t="e">
        <f t="shared" si="87"/>
        <v>#DIV/0!</v>
      </c>
      <c r="BU135" s="315">
        <f>'FY 2016 by Agency'!BL136*Inflator!$E$14</f>
        <v>0</v>
      </c>
      <c r="BV135" s="203">
        <f t="shared" si="159"/>
        <v>0</v>
      </c>
      <c r="BW135" s="206"/>
      <c r="BX135" s="206">
        <f>'FY 2016 by Agency'!BW136*Inflator!E15</f>
        <v>0</v>
      </c>
      <c r="BY135" s="204">
        <f>'FY 2016 by Agency'!BZ136*Inflator!$E$15</f>
        <v>0</v>
      </c>
      <c r="BZ135" s="206">
        <f t="shared" si="82"/>
        <v>0</v>
      </c>
      <c r="CA135" s="199" t="e">
        <f t="shared" si="83"/>
        <v>#DIV/0!</v>
      </c>
      <c r="CB135" s="308">
        <f>'FY 2016 by Agency'!CF136*Inflator!$E$16</f>
        <v>15538.782847242273</v>
      </c>
      <c r="CC135" s="206">
        <f t="shared" si="142"/>
        <v>15538.782847242273</v>
      </c>
      <c r="CD135" s="304" t="e">
        <f t="shared" si="143"/>
        <v>#DIV/0!</v>
      </c>
      <c r="CE135" s="309">
        <f>'FY 2016 by Agency'!CK136*Inflator!$E$17</f>
        <v>15113.405780674413</v>
      </c>
      <c r="CF135" s="309">
        <f t="shared" si="160"/>
        <v>-425.37706656786031</v>
      </c>
      <c r="CG135" s="608">
        <f t="shared" si="161"/>
        <v>-2.7375185736851559E-2</v>
      </c>
      <c r="CH135" s="754">
        <f>'FY 2016 by Agency'!CN136*Inflator!$E$18</f>
        <v>15196</v>
      </c>
      <c r="CI135" s="754">
        <f t="shared" si="162"/>
        <v>82.594219325586892</v>
      </c>
      <c r="CJ135" s="397">
        <f t="shared" si="163"/>
        <v>5.4649640540453516E-3</v>
      </c>
    </row>
    <row r="136" spans="1:169" ht="18" customHeight="1" x14ac:dyDescent="0.25">
      <c r="A136" s="317" t="s">
        <v>245</v>
      </c>
      <c r="B136" s="303" t="s">
        <v>132</v>
      </c>
      <c r="C136" s="415" t="s">
        <v>132</v>
      </c>
      <c r="D136" s="415" t="s">
        <v>132</v>
      </c>
      <c r="E136" s="415" t="s">
        <v>132</v>
      </c>
      <c r="F136" s="415" t="s">
        <v>132</v>
      </c>
      <c r="G136" s="415" t="s">
        <v>132</v>
      </c>
      <c r="H136" s="415" t="s">
        <v>132</v>
      </c>
      <c r="I136" s="415" t="s">
        <v>132</v>
      </c>
      <c r="J136" s="415" t="s">
        <v>132</v>
      </c>
      <c r="K136" s="415" t="s">
        <v>132</v>
      </c>
      <c r="L136" s="415" t="s">
        <v>132</v>
      </c>
      <c r="M136" s="415" t="s">
        <v>132</v>
      </c>
      <c r="N136" s="415" t="s">
        <v>132</v>
      </c>
      <c r="O136" s="415" t="s">
        <v>132</v>
      </c>
      <c r="P136" s="415" t="s">
        <v>132</v>
      </c>
      <c r="Q136" s="415" t="s">
        <v>132</v>
      </c>
      <c r="R136" s="415" t="s">
        <v>132</v>
      </c>
      <c r="S136" s="415" t="s">
        <v>132</v>
      </c>
      <c r="T136" s="415" t="s">
        <v>132</v>
      </c>
      <c r="U136" s="204">
        <f>'FY 2016 by Agency'!U137*Inflator!$E$9</f>
        <v>1530.3192970822279</v>
      </c>
      <c r="V136" s="315"/>
      <c r="W136" s="395"/>
      <c r="X136" s="204">
        <f>'FY 2016 by Agency'!X137*Inflator!$E$10</f>
        <v>40024.307081613217</v>
      </c>
      <c r="Y136" s="413">
        <f t="shared" si="153"/>
        <v>38493.987784530989</v>
      </c>
      <c r="Z136" s="304">
        <f>Y136/U136</f>
        <v>25.154219683385861</v>
      </c>
      <c r="AA136" s="204">
        <f>'FY 2016 by Agency'!AA137*Inflator!$E$11</f>
        <v>43968.307741318895</v>
      </c>
      <c r="AB136" s="206">
        <f t="shared" si="129"/>
        <v>3944.0006597056781</v>
      </c>
      <c r="AC136" s="304">
        <f t="shared" si="130"/>
        <v>9.8540135914495675E-2</v>
      </c>
      <c r="AD136" s="204" t="e">
        <f>'FY 2016 by Agency'!AD137*Inflator!#REF!</f>
        <v>#REF!</v>
      </c>
      <c r="AE136" s="204">
        <f>'FY 2016 by Agency'!AE137*Inflator!$B$8</f>
        <v>0</v>
      </c>
      <c r="AF136" s="204">
        <f>'FY 2016 by Agency'!AF137*Inflator!$E$12</f>
        <v>35484.80921052632</v>
      </c>
      <c r="AG136" s="204">
        <f t="shared" si="131"/>
        <v>-8483.4985307925745</v>
      </c>
      <c r="AH136" s="304">
        <f t="shared" si="132"/>
        <v>-0.19294575949349693</v>
      </c>
      <c r="AI136" s="204">
        <f>'FY 2016 by Agency'!AI137*Inflator!$B$8</f>
        <v>0</v>
      </c>
      <c r="AJ136" s="204">
        <f>'FY 2016 by Agency'!AJ137*Inflator!$B$8</f>
        <v>0</v>
      </c>
      <c r="AK136" s="204">
        <f>'FY 2016 by Agency'!AK137</f>
        <v>29316</v>
      </c>
      <c r="AL136" s="204">
        <f>'FY 2016 by Agency'!AL137</f>
        <v>0</v>
      </c>
      <c r="AM136" s="204">
        <f>'FY 2016 by Agency'!AM137</f>
        <v>29316</v>
      </c>
      <c r="AN136" s="204">
        <f>'FY 2016 by Agency'!AN137</f>
        <v>26203</v>
      </c>
      <c r="AO136" s="204">
        <f>'FY 2016 by Agency'!AO137</f>
        <v>27653</v>
      </c>
      <c r="AP136" s="204">
        <f>'FY 2016 by Agency'!AP137</f>
        <v>535</v>
      </c>
      <c r="AQ136" s="204">
        <f>'FY 2016 by Agency'!AQ137</f>
        <v>0</v>
      </c>
      <c r="AR136" s="204">
        <f>'FY 2016 by Agency'!AR137</f>
        <v>535</v>
      </c>
      <c r="AS136" s="204">
        <f>'FY 2016 by Agency'!AS137</f>
        <v>27469.85614</v>
      </c>
      <c r="AT136" s="204" t="e">
        <f t="shared" si="133"/>
        <v>#REF!</v>
      </c>
      <c r="AU136" s="304" t="e">
        <f t="shared" si="134"/>
        <v>#REF!</v>
      </c>
      <c r="AV136" s="204">
        <f t="shared" si="135"/>
        <v>-8014.9530705263205</v>
      </c>
      <c r="AW136" s="304">
        <f t="shared" si="136"/>
        <v>-0.22586997785375554</v>
      </c>
      <c r="AX136" s="305" t="s">
        <v>438</v>
      </c>
      <c r="AY136" s="200">
        <v>28192.973020000001</v>
      </c>
      <c r="AZ136" s="418">
        <f t="shared" si="137"/>
        <v>539.97302000000127</v>
      </c>
      <c r="BA136" s="418">
        <f t="shared" si="138"/>
        <v>-7474.9800505263192</v>
      </c>
      <c r="BB136" s="418">
        <f t="shared" si="139"/>
        <v>28009.829160000001</v>
      </c>
      <c r="BC136" s="397">
        <f t="shared" si="140"/>
        <v>-0.21065295874012813</v>
      </c>
      <c r="BD136" s="306">
        <v>648.41399999999999</v>
      </c>
      <c r="BE136" s="199">
        <f t="shared" si="155"/>
        <v>2.2999135264663902E-2</v>
      </c>
      <c r="BF136" s="419">
        <v>770</v>
      </c>
      <c r="BG136" s="419"/>
      <c r="BH136" s="66">
        <v>10</v>
      </c>
      <c r="BI136" s="319">
        <v>27641</v>
      </c>
      <c r="BJ136" s="418">
        <f t="shared" si="156"/>
        <v>-551.97302000000127</v>
      </c>
      <c r="BK136" s="418">
        <f t="shared" si="157"/>
        <v>28176</v>
      </c>
      <c r="BL136" s="307">
        <f>'FY 2016 by Agency'!BB137*Inflator!$E$13</f>
        <v>29614.368835038145</v>
      </c>
      <c r="BM136" s="203">
        <f t="shared" si="158"/>
        <v>-5870.4403754881751</v>
      </c>
      <c r="BN136" s="362">
        <f t="shared" si="141"/>
        <v>-0.16543530897009162</v>
      </c>
      <c r="BO136" s="204">
        <f>'FY 2016 by Agency'!AX137*Inflator!$E$13</f>
        <v>52215.463228562709</v>
      </c>
      <c r="BP136" s="204">
        <f t="shared" si="84"/>
        <v>16730.654018036388</v>
      </c>
      <c r="BQ136" s="199">
        <f t="shared" si="85"/>
        <v>0.47148778280801229</v>
      </c>
      <c r="BR136" s="204">
        <f>'FY 2016 by Agency'!BE137*Inflator!$E$14</f>
        <v>45843.773241954703</v>
      </c>
      <c r="BS136" s="204">
        <f t="shared" si="86"/>
        <v>-6371.6899866080057</v>
      </c>
      <c r="BT136" s="199">
        <f t="shared" si="87"/>
        <v>-0.12202687848841275</v>
      </c>
      <c r="BU136" s="204">
        <f>'FY 2016 by Agency'!BL137*Inflator!$E$14</f>
        <v>46302.200238379017</v>
      </c>
      <c r="BV136" s="203">
        <f>BU136-BL136</f>
        <v>16687.831403340871</v>
      </c>
      <c r="BW136" s="309">
        <v>47782</v>
      </c>
      <c r="BX136" s="206">
        <f>'FY 2016 by Agency'!BW137*Inflator!E15</f>
        <v>50887.859366754608</v>
      </c>
      <c r="BY136" s="204">
        <f>'FY 2016 by Agency'!BZ137*Inflator!$E$15</f>
        <v>45201.75285839929</v>
      </c>
      <c r="BZ136" s="206">
        <f t="shared" si="82"/>
        <v>1938.2267580452972</v>
      </c>
      <c r="CA136" s="199">
        <f t="shared" si="83"/>
        <v>4.2278953519286157E-2</v>
      </c>
      <c r="CB136" s="308">
        <f>'FY 2016 by Agency'!CF137*Inflator!$E$16</f>
        <v>47015.872653768405</v>
      </c>
      <c r="CC136" s="206">
        <f t="shared" si="142"/>
        <v>1814.1197953691153</v>
      </c>
      <c r="CD136" s="304">
        <f t="shared" si="143"/>
        <v>4.0133837310515265E-2</v>
      </c>
      <c r="CE136" s="309">
        <f>'FY 2016 by Agency'!CK137*Inflator!$E$17</f>
        <v>32585.250212524799</v>
      </c>
      <c r="CF136" s="309">
        <f t="shared" si="160"/>
        <v>-14430.622441243606</v>
      </c>
      <c r="CG136" s="608">
        <f t="shared" si="161"/>
        <v>-0.3069308645510585</v>
      </c>
      <c r="CH136" s="754">
        <f>'FY 2016 by Agency'!CN137*Inflator!$E$18</f>
        <v>31616</v>
      </c>
      <c r="CI136" s="754">
        <f t="shared" si="162"/>
        <v>-969.25021252479928</v>
      </c>
      <c r="CJ136" s="397">
        <f t="shared" si="163"/>
        <v>-2.9745059688148362E-2</v>
      </c>
    </row>
    <row r="137" spans="1:169" ht="18" customHeight="1" x14ac:dyDescent="0.25">
      <c r="A137" s="317" t="s">
        <v>246</v>
      </c>
      <c r="B137" s="303" t="s">
        <v>132</v>
      </c>
      <c r="C137" s="415" t="s">
        <v>132</v>
      </c>
      <c r="D137" s="415" t="s">
        <v>132</v>
      </c>
      <c r="E137" s="415" t="s">
        <v>132</v>
      </c>
      <c r="F137" s="415" t="s">
        <v>132</v>
      </c>
      <c r="G137" s="415" t="s">
        <v>132</v>
      </c>
      <c r="H137" s="415" t="s">
        <v>132</v>
      </c>
      <c r="I137" s="415" t="s">
        <v>132</v>
      </c>
      <c r="J137" s="415" t="s">
        <v>132</v>
      </c>
      <c r="K137" s="415" t="s">
        <v>132</v>
      </c>
      <c r="L137" s="415" t="s">
        <v>132</v>
      </c>
      <c r="M137" s="415" t="s">
        <v>132</v>
      </c>
      <c r="N137" s="415" t="s">
        <v>132</v>
      </c>
      <c r="O137" s="415" t="s">
        <v>132</v>
      </c>
      <c r="P137" s="415" t="s">
        <v>132</v>
      </c>
      <c r="Q137" s="415" t="s">
        <v>132</v>
      </c>
      <c r="R137" s="415" t="s">
        <v>132</v>
      </c>
      <c r="S137" s="415" t="s">
        <v>132</v>
      </c>
      <c r="T137" s="415" t="s">
        <v>132</v>
      </c>
      <c r="U137" s="204">
        <f>'FY 2016 by Agency'!U138*Inflator!$E$9</f>
        <v>0</v>
      </c>
      <c r="V137" s="315"/>
      <c r="W137" s="395"/>
      <c r="X137" s="204">
        <f>'FY 2016 by Agency'!X138*Inflator!$E$10</f>
        <v>0</v>
      </c>
      <c r="Y137" s="413">
        <f t="shared" si="153"/>
        <v>0</v>
      </c>
      <c r="Z137" s="311" t="s">
        <v>405</v>
      </c>
      <c r="AA137" s="204">
        <f>'FY 2016 by Agency'!AA138*Inflator!$E$11</f>
        <v>162645.77891048108</v>
      </c>
      <c r="AB137" s="206">
        <f t="shared" si="129"/>
        <v>162645.77891048108</v>
      </c>
      <c r="AC137" s="394" t="s">
        <v>405</v>
      </c>
      <c r="AD137" s="204" t="e">
        <f>'FY 2016 by Agency'!AD138*Inflator!#REF!</f>
        <v>#REF!</v>
      </c>
      <c r="AE137" s="204">
        <f>'FY 2016 by Agency'!AE138*Inflator!$B$8</f>
        <v>0</v>
      </c>
      <c r="AF137" s="204">
        <f>'FY 2016 by Agency'!AF138*Inflator!$E$12</f>
        <v>188015.19548872183</v>
      </c>
      <c r="AG137" s="204">
        <f t="shared" si="131"/>
        <v>25369.416578240751</v>
      </c>
      <c r="AH137" s="304">
        <f t="shared" si="132"/>
        <v>0.15597955722050352</v>
      </c>
      <c r="AI137" s="204">
        <f>'FY 2016 by Agency'!AI138*Inflator!$B$8</f>
        <v>0</v>
      </c>
      <c r="AJ137" s="204">
        <f>'FY 2016 by Agency'!AJ138*Inflator!$B$8</f>
        <v>0</v>
      </c>
      <c r="AK137" s="204">
        <f>'FY 2016 by Agency'!AK138</f>
        <v>200600</v>
      </c>
      <c r="AL137" s="204">
        <f>'FY 2016 by Agency'!AL138</f>
        <v>0</v>
      </c>
      <c r="AM137" s="204">
        <f>'FY 2016 by Agency'!AM138</f>
        <v>200600</v>
      </c>
      <c r="AN137" s="204">
        <f>'FY 2016 by Agency'!AN138</f>
        <v>179891</v>
      </c>
      <c r="AO137" s="204">
        <f>'FY 2016 by Agency'!AO138</f>
        <v>179891</v>
      </c>
      <c r="AP137" s="204">
        <f>'FY 2016 by Agency'!AP138</f>
        <v>0</v>
      </c>
      <c r="AQ137" s="204">
        <f>'FY 2016 by Agency'!AQ138</f>
        <v>0</v>
      </c>
      <c r="AR137" s="204">
        <f>'FY 2016 by Agency'!AR138</f>
        <v>0</v>
      </c>
      <c r="AS137" s="204">
        <f>'FY 2016 by Agency'!AS138</f>
        <v>135239.86283999999</v>
      </c>
      <c r="AT137" s="204" t="e">
        <f t="shared" si="133"/>
        <v>#REF!</v>
      </c>
      <c r="AU137" s="304" t="e">
        <f t="shared" si="134"/>
        <v>#REF!</v>
      </c>
      <c r="AV137" s="204">
        <f t="shared" si="135"/>
        <v>-52775.332648721844</v>
      </c>
      <c r="AW137" s="304">
        <f t="shared" si="136"/>
        <v>-0.28069716658559968</v>
      </c>
      <c r="AX137" s="305" t="s">
        <v>439</v>
      </c>
      <c r="AY137" s="200">
        <v>179891.489</v>
      </c>
      <c r="AZ137" s="418">
        <f t="shared" si="137"/>
        <v>0.48900000000139698</v>
      </c>
      <c r="BA137" s="418">
        <f t="shared" si="138"/>
        <v>-52774.843648721842</v>
      </c>
      <c r="BB137" s="418">
        <f t="shared" si="139"/>
        <v>135240.35183999999</v>
      </c>
      <c r="BC137" s="397">
        <f t="shared" si="140"/>
        <v>-0.28069456573198925</v>
      </c>
      <c r="BD137" s="306">
        <v>0</v>
      </c>
      <c r="BE137" s="199">
        <f t="shared" si="155"/>
        <v>0</v>
      </c>
      <c r="BF137" s="419">
        <v>21862</v>
      </c>
      <c r="BG137" s="419"/>
      <c r="BI137" s="319">
        <v>158017</v>
      </c>
      <c r="BJ137" s="418">
        <f t="shared" si="156"/>
        <v>-21874.489000000001</v>
      </c>
      <c r="BK137" s="418">
        <f t="shared" si="157"/>
        <v>158017</v>
      </c>
      <c r="BL137" s="307">
        <f>'FY 2016 by Agency'!BB138*Inflator!$E$13</f>
        <v>148693.69112374733</v>
      </c>
      <c r="BM137" s="203">
        <f t="shared" si="158"/>
        <v>-39321.504364974506</v>
      </c>
      <c r="BN137" s="362">
        <f t="shared" si="141"/>
        <v>-0.20914003393589123</v>
      </c>
      <c r="BO137" s="204">
        <f>'FY 2016 by Agency'!AX138*Inflator!$E$13</f>
        <v>173736.72596887397</v>
      </c>
      <c r="BP137" s="204">
        <f t="shared" si="84"/>
        <v>-14278.469519847858</v>
      </c>
      <c r="BQ137" s="199">
        <f t="shared" si="85"/>
        <v>-7.5943167693083388E-2</v>
      </c>
      <c r="BR137" s="204">
        <f>'FY 2016 by Agency'!BE138*Inflator!$E$14</f>
        <v>128426.12216924909</v>
      </c>
      <c r="BS137" s="204">
        <f t="shared" si="86"/>
        <v>-45310.603799624878</v>
      </c>
      <c r="BT137" s="199">
        <f t="shared" si="87"/>
        <v>-0.26080037796811339</v>
      </c>
      <c r="BU137" s="204">
        <f>'FY 2016 by Agency'!BL138*Inflator!$E$14</f>
        <v>128426.12216924909</v>
      </c>
      <c r="BV137" s="203">
        <f t="shared" si="159"/>
        <v>-20267.568954498231</v>
      </c>
      <c r="BW137" s="206">
        <v>109941</v>
      </c>
      <c r="BX137" s="206">
        <f>'FY 2016 by Agency'!BW138*Inflator!E15</f>
        <v>116129.41160949867</v>
      </c>
      <c r="BY137" s="204">
        <f>'FY 2016 by Agency'!BZ138*Inflator!$E$15</f>
        <v>88819.072999120486</v>
      </c>
      <c r="BZ137" s="206">
        <f t="shared" si="82"/>
        <v>-18485.122169249094</v>
      </c>
      <c r="CA137" s="199">
        <f t="shared" si="83"/>
        <v>-0.1439358430903028</v>
      </c>
      <c r="CB137" s="308">
        <f>'FY 2016 by Agency'!CF138*Inflator!$E$16</f>
        <v>80542.60438925786</v>
      </c>
      <c r="CC137" s="206">
        <f t="shared" si="142"/>
        <v>-8276.4686098626262</v>
      </c>
      <c r="CD137" s="304">
        <f t="shared" si="143"/>
        <v>-9.3183460831037748E-2</v>
      </c>
      <c r="CE137" s="309">
        <f>'FY 2016 by Agency'!CK138*Inflator!$E$17</f>
        <v>75898.843865117611</v>
      </c>
      <c r="CF137" s="309">
        <f t="shared" si="160"/>
        <v>-4643.7605241402489</v>
      </c>
      <c r="CG137" s="608">
        <f t="shared" si="161"/>
        <v>-5.7655951894691866E-2</v>
      </c>
      <c r="CH137" s="754">
        <f>'FY 2016 by Agency'!CN138*Inflator!$E$18</f>
        <v>74415</v>
      </c>
      <c r="CI137" s="754">
        <f t="shared" si="162"/>
        <v>-1483.8438651176111</v>
      </c>
      <c r="CJ137" s="397">
        <f t="shared" si="163"/>
        <v>-1.9550282844289432E-2</v>
      </c>
    </row>
    <row r="138" spans="1:169" ht="18" customHeight="1" x14ac:dyDescent="0.25">
      <c r="A138" s="317" t="s">
        <v>247</v>
      </c>
      <c r="B138" s="303" t="s">
        <v>132</v>
      </c>
      <c r="C138" s="415" t="s">
        <v>132</v>
      </c>
      <c r="D138" s="415" t="s">
        <v>132</v>
      </c>
      <c r="E138" s="415" t="s">
        <v>132</v>
      </c>
      <c r="F138" s="415" t="s">
        <v>132</v>
      </c>
      <c r="G138" s="415" t="s">
        <v>132</v>
      </c>
      <c r="H138" s="415" t="s">
        <v>132</v>
      </c>
      <c r="I138" s="415" t="s">
        <v>132</v>
      </c>
      <c r="J138" s="415" t="s">
        <v>132</v>
      </c>
      <c r="K138" s="415" t="s">
        <v>132</v>
      </c>
      <c r="L138" s="415" t="s">
        <v>132</v>
      </c>
      <c r="M138" s="415" t="s">
        <v>132</v>
      </c>
      <c r="N138" s="415" t="s">
        <v>132</v>
      </c>
      <c r="O138" s="415" t="s">
        <v>132</v>
      </c>
      <c r="P138" s="415" t="s">
        <v>132</v>
      </c>
      <c r="Q138" s="415" t="s">
        <v>132</v>
      </c>
      <c r="R138" s="415" t="s">
        <v>132</v>
      </c>
      <c r="S138" s="415" t="s">
        <v>132</v>
      </c>
      <c r="T138" s="415" t="s">
        <v>132</v>
      </c>
      <c r="U138" s="204">
        <f>'FY 2016 by Agency'!U139*Inflator!$E$9</f>
        <v>0</v>
      </c>
      <c r="V138" s="317"/>
      <c r="W138" s="317"/>
      <c r="X138" s="204">
        <f>'FY 2016 by Agency'!X139*Inflator!$E$10</f>
        <v>195.65354080660529</v>
      </c>
      <c r="Y138" s="413">
        <f t="shared" si="153"/>
        <v>195.65354080660529</v>
      </c>
      <c r="Z138" s="317" t="s">
        <v>405</v>
      </c>
      <c r="AA138" s="204">
        <f>'FY 2016 by Agency'!AA139*Inflator!$E$11</f>
        <v>86726.815546352358</v>
      </c>
      <c r="AB138" s="206">
        <f t="shared" si="129"/>
        <v>86531.162005545746</v>
      </c>
      <c r="AC138" s="304">
        <f>AB138/X138</f>
        <v>442.26729375206094</v>
      </c>
      <c r="AD138" s="204" t="e">
        <f>'FY 2016 by Agency'!AD139*Inflator!#REF!</f>
        <v>#REF!</v>
      </c>
      <c r="AE138" s="204">
        <f>'FY 2016 by Agency'!AE139*Inflator!$B$8</f>
        <v>0</v>
      </c>
      <c r="AF138" s="204">
        <f>'FY 2016 by Agency'!AF139*Inflator!$E$12</f>
        <v>105395.65131578948</v>
      </c>
      <c r="AG138" s="204">
        <f t="shared" si="131"/>
        <v>18668.835769437123</v>
      </c>
      <c r="AH138" s="304">
        <f t="shared" si="132"/>
        <v>0.21526024738518507</v>
      </c>
      <c r="AI138" s="204">
        <f>'FY 2016 by Agency'!AI139*Inflator!$B$8</f>
        <v>0</v>
      </c>
      <c r="AJ138" s="204">
        <f>'FY 2016 by Agency'!AJ139*Inflator!$B$8</f>
        <v>0</v>
      </c>
      <c r="AK138" s="204">
        <f>'FY 2016 by Agency'!AK139</f>
        <v>87135</v>
      </c>
      <c r="AL138" s="204">
        <f>'FY 2016 by Agency'!AL139</f>
        <v>0</v>
      </c>
      <c r="AM138" s="204">
        <f>'FY 2016 by Agency'!AM139</f>
        <v>87135</v>
      </c>
      <c r="AN138" s="204">
        <f>'FY 2016 by Agency'!AN139</f>
        <v>89171</v>
      </c>
      <c r="AO138" s="204">
        <f>'FY 2016 by Agency'!AO139</f>
        <v>89171</v>
      </c>
      <c r="AP138" s="204">
        <f>'FY 2016 by Agency'!AP139</f>
        <v>0</v>
      </c>
      <c r="AQ138" s="204">
        <f>'FY 2016 by Agency'!AQ139</f>
        <v>0</v>
      </c>
      <c r="AR138" s="204">
        <f>'FY 2016 by Agency'!AR139</f>
        <v>0</v>
      </c>
      <c r="AS138" s="204">
        <f>'FY 2016 by Agency'!AS139</f>
        <v>95972.694640000002</v>
      </c>
      <c r="AT138" s="204" t="e">
        <f t="shared" si="133"/>
        <v>#REF!</v>
      </c>
      <c r="AU138" s="304" t="e">
        <f t="shared" si="134"/>
        <v>#REF!</v>
      </c>
      <c r="AV138" s="204">
        <f t="shared" si="135"/>
        <v>-9422.956675789479</v>
      </c>
      <c r="AW138" s="304">
        <f t="shared" si="136"/>
        <v>-8.940555476578578E-2</v>
      </c>
      <c r="AX138" s="305" t="s">
        <v>440</v>
      </c>
      <c r="AY138" s="200">
        <v>89171.4</v>
      </c>
      <c r="AZ138" s="418">
        <f t="shared" si="137"/>
        <v>0.39999999999417923</v>
      </c>
      <c r="BA138" s="418">
        <f t="shared" si="138"/>
        <v>-9422.5566757894849</v>
      </c>
      <c r="BB138" s="418">
        <f t="shared" si="139"/>
        <v>95973.094639999996</v>
      </c>
      <c r="BC138" s="397">
        <f t="shared" si="140"/>
        <v>-8.9401759542785619E-2</v>
      </c>
      <c r="BD138" s="306">
        <v>0</v>
      </c>
      <c r="BE138" s="199">
        <f t="shared" si="155"/>
        <v>0</v>
      </c>
      <c r="BF138" s="419">
        <v>4406</v>
      </c>
      <c r="BG138" s="419"/>
      <c r="BI138" s="319">
        <v>93604</v>
      </c>
      <c r="BJ138" s="418">
        <f t="shared" si="156"/>
        <v>4432.6000000000058</v>
      </c>
      <c r="BK138" s="418">
        <f t="shared" si="157"/>
        <v>93604</v>
      </c>
      <c r="BL138" s="307">
        <f>'FY 2016 by Agency'!BB139*Inflator!$E$13</f>
        <v>105520.17662127556</v>
      </c>
      <c r="BM138" s="203">
        <f t="shared" si="158"/>
        <v>124.52530548608047</v>
      </c>
      <c r="BN138" s="362">
        <f t="shared" si="141"/>
        <v>1.1815032587347857E-3</v>
      </c>
      <c r="BO138" s="204">
        <f>'FY 2016 by Agency'!AX139*Inflator!$E$13</f>
        <v>102915.84131827891</v>
      </c>
      <c r="BP138" s="204">
        <f t="shared" si="84"/>
        <v>-2479.8099975105724</v>
      </c>
      <c r="BQ138" s="199">
        <f t="shared" si="85"/>
        <v>-2.3528579847004259E-2</v>
      </c>
      <c r="BR138" s="204">
        <f>'FY 2016 by Agency'!BE139*Inflator!$E$14</f>
        <v>99908.098033373055</v>
      </c>
      <c r="BS138" s="204">
        <f t="shared" si="86"/>
        <v>-3007.7432849058532</v>
      </c>
      <c r="BT138" s="199">
        <f t="shared" si="87"/>
        <v>-2.9225270341074763E-2</v>
      </c>
      <c r="BU138" s="204">
        <f>'FY 2016 by Agency'!BL139*Inflator!$E$14</f>
        <v>99967.146007151357</v>
      </c>
      <c r="BV138" s="203">
        <f t="shared" si="159"/>
        <v>-5553.0306141242036</v>
      </c>
      <c r="BW138" s="206">
        <v>91190</v>
      </c>
      <c r="BX138" s="206">
        <f>'FY 2016 by Agency'!BW139*Inflator!E15</f>
        <v>96322.94635004396</v>
      </c>
      <c r="BY138" s="204">
        <f>'FY 2016 by Agency'!BZ139*Inflator!$E$15</f>
        <v>94789.215479331571</v>
      </c>
      <c r="BZ138" s="206">
        <f t="shared" si="82"/>
        <v>-8718.0980333730549</v>
      </c>
      <c r="CA138" s="199">
        <f t="shared" si="83"/>
        <v>-8.7261175069721406E-2</v>
      </c>
      <c r="CB138" s="308">
        <f>'FY 2016 by Agency'!CF139*Inflator!$E$16</f>
        <v>89530.856482818359</v>
      </c>
      <c r="CC138" s="206">
        <f t="shared" si="142"/>
        <v>-5258.3589965132123</v>
      </c>
      <c r="CD138" s="304">
        <f t="shared" si="143"/>
        <v>-5.5474232695382708E-2</v>
      </c>
      <c r="CE138" s="309">
        <f>'FY 2016 by Agency'!CK139*Inflator!$E$17</f>
        <v>92614.150184188169</v>
      </c>
      <c r="CF138" s="309">
        <f t="shared" si="160"/>
        <v>3083.2937013698102</v>
      </c>
      <c r="CG138" s="608">
        <f t="shared" si="161"/>
        <v>3.4438335815111042E-2</v>
      </c>
      <c r="CH138" s="754">
        <f>'FY 2016 by Agency'!CN139*Inflator!$E$18</f>
        <v>93805</v>
      </c>
      <c r="CI138" s="754">
        <f t="shared" si="162"/>
        <v>1190.8498158118309</v>
      </c>
      <c r="CJ138" s="397">
        <f t="shared" si="163"/>
        <v>1.2858184342711189E-2</v>
      </c>
    </row>
    <row r="139" spans="1:169" s="325" customFormat="1" ht="18" customHeight="1" thickBot="1" x14ac:dyDescent="0.3">
      <c r="A139" s="68" t="s">
        <v>248</v>
      </c>
      <c r="B139" s="303" t="s">
        <v>132</v>
      </c>
      <c r="C139" s="303" t="s">
        <v>132</v>
      </c>
      <c r="D139" s="303" t="s">
        <v>132</v>
      </c>
      <c r="E139" s="303" t="s">
        <v>132</v>
      </c>
      <c r="F139" s="303" t="s">
        <v>132</v>
      </c>
      <c r="G139" s="303" t="s">
        <v>132</v>
      </c>
      <c r="H139" s="303" t="s">
        <v>132</v>
      </c>
      <c r="I139" s="303" t="s">
        <v>132</v>
      </c>
      <c r="J139" s="303" t="s">
        <v>132</v>
      </c>
      <c r="K139" s="303" t="s">
        <v>132</v>
      </c>
      <c r="L139" s="303" t="s">
        <v>132</v>
      </c>
      <c r="M139" s="303" t="s">
        <v>132</v>
      </c>
      <c r="N139" s="303" t="s">
        <v>132</v>
      </c>
      <c r="O139" s="303" t="s">
        <v>132</v>
      </c>
      <c r="P139" s="303" t="s">
        <v>132</v>
      </c>
      <c r="Q139" s="303" t="s">
        <v>132</v>
      </c>
      <c r="R139" s="303" t="s">
        <v>132</v>
      </c>
      <c r="S139" s="303" t="s">
        <v>132</v>
      </c>
      <c r="T139" s="303" t="s">
        <v>132</v>
      </c>
      <c r="U139" s="315"/>
      <c r="V139" s="68"/>
      <c r="W139" s="68"/>
      <c r="X139" s="315">
        <f>'FY 2016 by Agency'!X140*Inflator!$E$10</f>
        <v>439.36233724992064</v>
      </c>
      <c r="Y139" s="68"/>
      <c r="Z139" s="68"/>
      <c r="AA139" s="315">
        <f>'FY 2016 by Agency'!AA140*Inflator!$E$11</f>
        <v>0</v>
      </c>
      <c r="AB139" s="413">
        <f t="shared" si="129"/>
        <v>-439.36233724992064</v>
      </c>
      <c r="AC139" s="316">
        <f>AB139/X139</f>
        <v>-1</v>
      </c>
      <c r="AD139" s="315" t="e">
        <f>'FY 2016 by Agency'!AD140*Inflator!#REF!</f>
        <v>#REF!</v>
      </c>
      <c r="AE139" s="315">
        <f>'FY 2016 by Agency'!AE140*Inflator!$B$8</f>
        <v>0</v>
      </c>
      <c r="AF139" s="315">
        <f>'FY 2016 by Agency'!AF140*Inflator!$E$12</f>
        <v>0</v>
      </c>
      <c r="AG139" s="315">
        <f t="shared" si="131"/>
        <v>0</v>
      </c>
      <c r="AH139" s="316" t="e">
        <f t="shared" si="132"/>
        <v>#DIV/0!</v>
      </c>
      <c r="AI139" s="315">
        <f>'FY 2016 by Agency'!AI140*Inflator!$B$8</f>
        <v>0</v>
      </c>
      <c r="AJ139" s="315">
        <f>'FY 2016 by Agency'!AJ140*Inflator!$B$8</f>
        <v>0</v>
      </c>
      <c r="AK139" s="315">
        <f>'FY 2016 by Agency'!AK140</f>
        <v>0</v>
      </c>
      <c r="AL139" s="315">
        <f>'FY 2016 by Agency'!AL140</f>
        <v>0</v>
      </c>
      <c r="AM139" s="315">
        <f>'FY 2016 by Agency'!AM140</f>
        <v>0</v>
      </c>
      <c r="AN139" s="315">
        <f>'FY 2016 by Agency'!AN140</f>
        <v>0</v>
      </c>
      <c r="AO139" s="315">
        <f>'FY 2016 by Agency'!AO140</f>
        <v>0</v>
      </c>
      <c r="AP139" s="315">
        <f>'FY 2016 by Agency'!AP140</f>
        <v>0</v>
      </c>
      <c r="AQ139" s="315">
        <f>'FY 2016 by Agency'!AQ140</f>
        <v>0</v>
      </c>
      <c r="AR139" s="315">
        <f>'FY 2016 by Agency'!AR140</f>
        <v>0</v>
      </c>
      <c r="AS139" s="315">
        <f>'FY 2016 by Agency'!AS140</f>
        <v>1380</v>
      </c>
      <c r="AT139" s="315" t="e">
        <f t="shared" si="133"/>
        <v>#REF!</v>
      </c>
      <c r="AU139" s="316" t="e">
        <f t="shared" si="134"/>
        <v>#REF!</v>
      </c>
      <c r="AV139" s="315">
        <f t="shared" si="135"/>
        <v>1380</v>
      </c>
      <c r="AW139" s="316" t="e">
        <f t="shared" si="136"/>
        <v>#DIV/0!</v>
      </c>
      <c r="AX139" s="420"/>
      <c r="AY139" s="420"/>
      <c r="AZ139" s="420"/>
      <c r="BA139" s="420"/>
      <c r="BB139" s="420"/>
      <c r="BC139" s="420"/>
      <c r="BD139" s="421"/>
      <c r="BE139" s="422"/>
      <c r="BF139" s="422"/>
      <c r="BG139" s="422"/>
      <c r="BH139" s="68"/>
      <c r="BI139" s="319"/>
      <c r="BJ139" s="319">
        <f t="shared" si="156"/>
        <v>0</v>
      </c>
      <c r="BK139" s="319">
        <f t="shared" si="157"/>
        <v>0</v>
      </c>
      <c r="BL139" s="307">
        <f>'FY 2016 by Agency'!BB140*Inflator!$E$13</f>
        <v>1517.2841013121758</v>
      </c>
      <c r="BM139" s="203">
        <f t="shared" si="158"/>
        <v>1517.2841013121758</v>
      </c>
      <c r="BN139" s="210" t="e">
        <f t="shared" si="141"/>
        <v>#DIV/0!</v>
      </c>
      <c r="BO139" s="315">
        <f>'FY 2016 by Agency'!AX140*Inflator!$E$13</f>
        <v>0</v>
      </c>
      <c r="BP139" s="315">
        <f t="shared" si="84"/>
        <v>0</v>
      </c>
      <c r="BQ139" s="324" t="e">
        <f t="shared" si="85"/>
        <v>#DIV/0!</v>
      </c>
      <c r="BR139" s="315">
        <f>'FY 2016 by Agency'!BE140*Inflator!$E$14</f>
        <v>0</v>
      </c>
      <c r="BS139" s="315">
        <f t="shared" si="86"/>
        <v>0</v>
      </c>
      <c r="BT139" s="324" t="e">
        <f t="shared" si="87"/>
        <v>#DIV/0!</v>
      </c>
      <c r="BU139" s="423">
        <f>'FY 2016 by Agency'!BL140*Inflator!$E$14</f>
        <v>0</v>
      </c>
      <c r="BV139" s="203">
        <f t="shared" si="159"/>
        <v>-1517.2841013121758</v>
      </c>
      <c r="BW139" s="413">
        <v>0</v>
      </c>
      <c r="BX139" s="206">
        <f>'FY 2016 by Agency'!BW140*Inflator!E15</f>
        <v>0</v>
      </c>
      <c r="BY139" s="204">
        <f>'FY 2016 by Agency'!BZ140*Inflator!$E$15</f>
        <v>0</v>
      </c>
      <c r="BZ139" s="206">
        <f t="shared" si="82"/>
        <v>0</v>
      </c>
      <c r="CA139" s="199" t="e">
        <f t="shared" si="83"/>
        <v>#DIV/0!</v>
      </c>
      <c r="CB139" s="308">
        <f>'FY 2016 by Agency'!CF140*Inflator!$E$16</f>
        <v>0</v>
      </c>
      <c r="CC139" s="206">
        <f t="shared" si="142"/>
        <v>0</v>
      </c>
      <c r="CD139" s="304" t="e">
        <f t="shared" si="143"/>
        <v>#DIV/0!</v>
      </c>
      <c r="CE139" s="309">
        <f>'FY 2016 by Agency'!CK140*Inflator!$E$17</f>
        <v>0</v>
      </c>
      <c r="CF139" s="309">
        <f t="shared" si="160"/>
        <v>0</v>
      </c>
      <c r="CG139" s="608" t="e">
        <f t="shared" si="161"/>
        <v>#DIV/0!</v>
      </c>
      <c r="CH139" s="754">
        <f>'FY 2016 by Agency'!CN140*Inflator!$E$18</f>
        <v>0</v>
      </c>
      <c r="CI139" s="754">
        <f t="shared" si="162"/>
        <v>0</v>
      </c>
      <c r="CJ139" s="397" t="e">
        <f t="shared" si="163"/>
        <v>#DIV/0!</v>
      </c>
      <c r="CK139" s="68"/>
      <c r="CL139" s="68"/>
      <c r="CM139" s="68"/>
      <c r="CN139" s="68"/>
      <c r="CO139" s="68"/>
      <c r="CP139" s="68"/>
      <c r="CQ139" s="68"/>
      <c r="CR139" s="68"/>
      <c r="CS139" s="68"/>
      <c r="CT139" s="68"/>
      <c r="CU139" s="68"/>
      <c r="CV139" s="68"/>
      <c r="CW139" s="68"/>
      <c r="CX139" s="68"/>
      <c r="CY139" s="68"/>
      <c r="CZ139" s="68"/>
      <c r="DA139" s="68"/>
      <c r="DB139" s="68"/>
      <c r="DC139" s="68"/>
      <c r="DD139" s="68"/>
      <c r="DE139" s="68"/>
      <c r="DF139" s="68"/>
      <c r="DG139" s="68"/>
      <c r="DH139" s="68"/>
      <c r="DI139" s="68"/>
      <c r="DJ139" s="68"/>
      <c r="DK139" s="68"/>
      <c r="DL139" s="68"/>
      <c r="DM139" s="68"/>
      <c r="DN139" s="68"/>
      <c r="DO139" s="68"/>
      <c r="DP139" s="68"/>
      <c r="DQ139" s="68"/>
      <c r="DR139" s="68"/>
      <c r="DS139" s="68"/>
      <c r="DT139" s="68"/>
      <c r="DU139" s="68"/>
      <c r="DV139" s="68"/>
      <c r="DW139" s="68"/>
      <c r="DX139" s="68"/>
      <c r="DY139" s="68"/>
      <c r="DZ139" s="68"/>
      <c r="EA139" s="68"/>
      <c r="EB139" s="68"/>
      <c r="EC139" s="68"/>
      <c r="ED139" s="68"/>
      <c r="EE139" s="68"/>
      <c r="EF139" s="68"/>
      <c r="EG139" s="68"/>
      <c r="EH139" s="68"/>
      <c r="EI139" s="68"/>
      <c r="EJ139" s="68"/>
      <c r="EK139" s="68"/>
      <c r="EL139" s="68"/>
      <c r="EM139" s="68"/>
      <c r="EN139" s="68"/>
      <c r="EO139" s="68"/>
      <c r="EP139" s="68"/>
      <c r="EQ139" s="68"/>
      <c r="ER139" s="68"/>
      <c r="ES139" s="68"/>
      <c r="ET139" s="68"/>
      <c r="EU139" s="68"/>
      <c r="EV139" s="68"/>
      <c r="EW139" s="68"/>
      <c r="EX139" s="68"/>
      <c r="EY139" s="68"/>
      <c r="EZ139" s="68"/>
      <c r="FA139" s="68"/>
      <c r="FB139" s="68"/>
      <c r="FC139" s="68"/>
      <c r="FD139" s="68"/>
      <c r="FE139" s="68"/>
      <c r="FF139" s="68"/>
      <c r="FG139" s="68"/>
      <c r="FH139" s="68"/>
      <c r="FI139" s="68"/>
      <c r="FJ139" s="68"/>
      <c r="FK139" s="68"/>
      <c r="FL139" s="68"/>
      <c r="FM139" s="68"/>
    </row>
    <row r="140" spans="1:169" s="325" customFormat="1" ht="18" customHeight="1" thickBot="1" x14ac:dyDescent="0.3">
      <c r="A140" s="325" t="s">
        <v>249</v>
      </c>
      <c r="B140" s="424"/>
      <c r="C140" s="424"/>
      <c r="D140" s="424"/>
      <c r="E140" s="424"/>
      <c r="F140" s="424"/>
      <c r="G140" s="424"/>
      <c r="H140" s="424"/>
      <c r="I140" s="424"/>
      <c r="J140" s="424"/>
      <c r="K140" s="424"/>
      <c r="L140" s="424"/>
      <c r="M140" s="424"/>
      <c r="N140" s="424"/>
      <c r="O140" s="424"/>
      <c r="P140" s="424"/>
      <c r="Q140" s="424"/>
      <c r="R140" s="424"/>
      <c r="S140" s="424"/>
      <c r="T140" s="424"/>
      <c r="U140" s="327"/>
      <c r="X140" s="327"/>
      <c r="AA140" s="327"/>
      <c r="AB140" s="333"/>
      <c r="AC140" s="328"/>
      <c r="AD140" s="327"/>
      <c r="AE140" s="327"/>
      <c r="AF140" s="327"/>
      <c r="AG140" s="327"/>
      <c r="AH140" s="328"/>
      <c r="AI140" s="327"/>
      <c r="AJ140" s="327"/>
      <c r="AK140" s="327"/>
      <c r="AL140" s="327"/>
      <c r="AM140" s="327"/>
      <c r="AN140" s="327"/>
      <c r="AO140" s="327"/>
      <c r="AP140" s="327"/>
      <c r="AQ140" s="327"/>
      <c r="AR140" s="327"/>
      <c r="AS140" s="327"/>
      <c r="AT140" s="327"/>
      <c r="AU140" s="328"/>
      <c r="AV140" s="327"/>
      <c r="AW140" s="328"/>
      <c r="AX140" s="399"/>
      <c r="AY140" s="399"/>
      <c r="AZ140" s="399"/>
      <c r="BA140" s="399"/>
      <c r="BB140" s="399"/>
      <c r="BC140" s="399"/>
      <c r="BD140" s="425"/>
      <c r="BE140" s="426"/>
      <c r="BF140" s="426"/>
      <c r="BG140" s="426"/>
      <c r="BI140" s="427"/>
      <c r="BJ140" s="427"/>
      <c r="BK140" s="427"/>
      <c r="BL140" s="332">
        <f>'FY 2016 by Agency'!BB141*Inflator!$E$13</f>
        <v>394.71376258773267</v>
      </c>
      <c r="BM140" s="428">
        <f>BL140-AF140</f>
        <v>394.71376258773267</v>
      </c>
      <c r="BN140" s="429" t="e">
        <f>BM140/AF140</f>
        <v>#DIV/0!</v>
      </c>
      <c r="BO140" s="327">
        <f>'FY 2016 by Agency'!AX141*Inflator!$E$13</f>
        <v>0</v>
      </c>
      <c r="BP140" s="327">
        <f>BO140-AF140</f>
        <v>0</v>
      </c>
      <c r="BQ140" s="212" t="e">
        <f>BP140/AF140</f>
        <v>#DIV/0!</v>
      </c>
      <c r="BR140" s="327">
        <f>'FY 2016 by Agency'!BE141*Inflator!$E$14</f>
        <v>444.47020262216921</v>
      </c>
      <c r="BS140" s="327">
        <f>BR140-BO140</f>
        <v>444.47020262216921</v>
      </c>
      <c r="BT140" s="212" t="e">
        <f>BS140/BO140</f>
        <v>#DIV/0!</v>
      </c>
      <c r="BU140" s="428">
        <f>'FY 2016 by Agency'!BL141*Inflator!$E$14</f>
        <v>0</v>
      </c>
      <c r="BV140" s="428">
        <f>BU140-BL140</f>
        <v>-394.71376258773267</v>
      </c>
      <c r="BW140" s="333">
        <v>0</v>
      </c>
      <c r="BX140" s="333">
        <f>'FY 2016 by Agency'!BW141*Inflator!E16</f>
        <v>0</v>
      </c>
      <c r="BY140" s="327">
        <f>'FY 2016 by Agency'!BZ141*Inflator!$E$15</f>
        <v>167.9498680738786</v>
      </c>
      <c r="BZ140" s="333">
        <f>BW140-BR140</f>
        <v>-444.47020262216921</v>
      </c>
      <c r="CA140" s="212">
        <f>BZ140/BR140</f>
        <v>-1</v>
      </c>
      <c r="CB140" s="308">
        <f>'FY 2016 by Agency'!CF141*Inflator!$E$16</f>
        <v>853.15044758879583</v>
      </c>
      <c r="CC140" s="333">
        <f t="shared" si="142"/>
        <v>685.20057951491719</v>
      </c>
      <c r="CD140" s="328">
        <f t="shared" si="143"/>
        <v>4.0797923057224903</v>
      </c>
      <c r="CE140" s="309">
        <f>'FY 2016 by Agency'!CK141*Inflator!$E$17</f>
        <v>1176.1564182487959</v>
      </c>
      <c r="CF140" s="398">
        <f t="shared" si="160"/>
        <v>323.00597066000012</v>
      </c>
      <c r="CG140" s="678">
        <f>CF140/CB140</f>
        <v>0.37860376393506101</v>
      </c>
      <c r="CH140" s="754">
        <f>'FY 2016 by Agency'!CN141*Inflator!$E$18</f>
        <v>1076</v>
      </c>
      <c r="CI140" s="754">
        <f t="shared" si="162"/>
        <v>-100.15641824879594</v>
      </c>
      <c r="CJ140" s="397">
        <f t="shared" si="163"/>
        <v>-8.5155695870725204E-2</v>
      </c>
    </row>
    <row r="141" spans="1:169" s="65" customFormat="1" ht="18" customHeight="1" x14ac:dyDescent="0.25">
      <c r="A141" s="363" t="s">
        <v>250</v>
      </c>
      <c r="B141" s="336">
        <f>'FY 2016 by Agency'!B142*Inflator!$E$2</f>
        <v>1091302.4413875598</v>
      </c>
      <c r="C141" s="336">
        <f>'FY 2016 by Agency'!C142*Inflator!$E$3</f>
        <v>1364357.8110510048</v>
      </c>
      <c r="D141" s="336">
        <f>C141-B141</f>
        <v>273055.36966344505</v>
      </c>
      <c r="E141" s="337">
        <f>(C141-B141)/B141</f>
        <v>0.25021053679332284</v>
      </c>
      <c r="F141" s="338">
        <f>'FY 2016 by Agency'!F142*Inflator!$E$4</f>
        <v>1310061.497906357</v>
      </c>
      <c r="G141" s="338">
        <f>F141-C141</f>
        <v>-54296.313144647749</v>
      </c>
      <c r="H141" s="339">
        <f>(F141-C141)/C141</f>
        <v>-3.9796241649264798E-2</v>
      </c>
      <c r="I141" s="338">
        <f>'FY 2016 by Agency'!I142*Inflator!$E$5</f>
        <v>1257649.3253997769</v>
      </c>
      <c r="J141" s="338">
        <f>I141-F141</f>
        <v>-52412.172506580129</v>
      </c>
      <c r="K141" s="339">
        <f>(I141-F141)/F141</f>
        <v>-4.0007413843045819E-2</v>
      </c>
      <c r="L141" s="338">
        <f>'FY 2016 by Agency'!L142*Inflator!$E$6</f>
        <v>1375227.5114503817</v>
      </c>
      <c r="M141" s="338">
        <f>L141-I141</f>
        <v>117578.1860506048</v>
      </c>
      <c r="N141" s="339">
        <f>(L141-I141)/I141</f>
        <v>9.3490437815986163E-2</v>
      </c>
      <c r="O141" s="338">
        <f>'FY 2016 by Agency'!O142*Inflator!$E$7</f>
        <v>1453317.7983104538</v>
      </c>
      <c r="P141" s="338">
        <f>O141-L141</f>
        <v>78090.286860072054</v>
      </c>
      <c r="Q141" s="342">
        <f>P141/L141</f>
        <v>5.6783540330511743E-2</v>
      </c>
      <c r="R141" s="338">
        <f>'FY 2016 by Agency'!R142*Inflator!$E$8</f>
        <v>1498888.3594704685</v>
      </c>
      <c r="S141" s="338">
        <f t="shared" si="150"/>
        <v>45570.561160014709</v>
      </c>
      <c r="T141" s="342">
        <f>S141/O141</f>
        <v>3.1356225880528332E-2</v>
      </c>
      <c r="U141" s="338">
        <f>'FY 2016 by Agency'!U142*Inflator!$E$9</f>
        <v>1535799.0586870024</v>
      </c>
      <c r="V141" s="338">
        <f>SUM(V127:V139)</f>
        <v>35380.379919451756</v>
      </c>
      <c r="W141" s="342">
        <f>V141/R141</f>
        <v>2.3604413027766148E-2</v>
      </c>
      <c r="X141" s="338">
        <f>'FY 2016 by Agency'!X142*Inflator!$E$10</f>
        <v>1656147.7259447444</v>
      </c>
      <c r="Y141" s="338">
        <f>SUM(Y127:Y139)</f>
        <v>119909.30492049211</v>
      </c>
      <c r="Z141" s="342">
        <f>Y141/U141</f>
        <v>7.8076167739681998E-2</v>
      </c>
      <c r="AA141" s="338">
        <f>'FY 2016 by Agency'!AA142*Inflator!$E$11</f>
        <v>1642639.7241159608</v>
      </c>
      <c r="AB141" s="338">
        <f>SUM(AB127:AB139)</f>
        <v>-13508.001828783898</v>
      </c>
      <c r="AC141" s="342">
        <f>AB141/X141</f>
        <v>-8.1562783423068733E-3</v>
      </c>
      <c r="AD141" s="338" t="e">
        <f>'FY 2016 by Agency'!AD142*Inflator!#REF!</f>
        <v>#REF!</v>
      </c>
      <c r="AE141" s="338">
        <f>SUM(AE127:AE139)</f>
        <v>0</v>
      </c>
      <c r="AF141" s="338">
        <f>'FY 2016 by Agency'!AF142*Inflator!$E$12</f>
        <v>1588146.4135338347</v>
      </c>
      <c r="AG141" s="338">
        <f t="shared" si="131"/>
        <v>-54493.310582126025</v>
      </c>
      <c r="AH141" s="342">
        <f t="shared" si="132"/>
        <v>-3.3174231562829976E-2</v>
      </c>
      <c r="AI141" s="338">
        <f t="shared" ref="AI141:AT141" si="165">SUM(AI127:AI139)</f>
        <v>0</v>
      </c>
      <c r="AJ141" s="338">
        <f t="shared" si="165"/>
        <v>0</v>
      </c>
      <c r="AK141" s="338">
        <f t="shared" si="165"/>
        <v>1520467</v>
      </c>
      <c r="AL141" s="338">
        <f t="shared" si="165"/>
        <v>0</v>
      </c>
      <c r="AM141" s="338">
        <f t="shared" si="165"/>
        <v>1520467</v>
      </c>
      <c r="AN141" s="338">
        <f t="shared" si="165"/>
        <v>1503960</v>
      </c>
      <c r="AO141" s="338">
        <f t="shared" si="165"/>
        <v>1523404</v>
      </c>
      <c r="AP141" s="338">
        <f t="shared" si="165"/>
        <v>4371</v>
      </c>
      <c r="AQ141" s="338">
        <f t="shared" si="165"/>
        <v>111</v>
      </c>
      <c r="AR141" s="338">
        <f t="shared" si="165"/>
        <v>4482</v>
      </c>
      <c r="AS141" s="338">
        <f t="shared" si="165"/>
        <v>1501762.1986100003</v>
      </c>
      <c r="AT141" s="338" t="e">
        <f t="shared" si="165"/>
        <v>#REF!</v>
      </c>
      <c r="AU141" s="342" t="e">
        <f t="shared" si="134"/>
        <v>#REF!</v>
      </c>
      <c r="AV141" s="338">
        <f t="shared" si="135"/>
        <v>-86384.214923834428</v>
      </c>
      <c r="AW141" s="342">
        <f t="shared" si="136"/>
        <v>-5.4393105187082964E-2</v>
      </c>
      <c r="AX141" s="341"/>
      <c r="AY141" s="348">
        <f>SUM(AY127:AY138)</f>
        <v>1534329.0955599998</v>
      </c>
      <c r="AZ141" s="348">
        <f>SUM(AZ127:AZ138)</f>
        <v>10925.095559999983</v>
      </c>
      <c r="BA141" s="348">
        <f>SUM(BA127:BA138)</f>
        <v>-76839.119363834834</v>
      </c>
      <c r="BB141" s="348">
        <f>SUM(BB127:BB138)</f>
        <v>1511307.2941699999</v>
      </c>
      <c r="BC141" s="341">
        <f>(BB141-AF141)/AF141</f>
        <v>-4.8382893862321988E-2</v>
      </c>
      <c r="BD141" s="348">
        <f>SUM(BD127:BD138)</f>
        <v>27751.602999999999</v>
      </c>
      <c r="BE141" s="339">
        <f>BD141/AY141</f>
        <v>1.8087125558856207E-2</v>
      </c>
      <c r="BF141" s="339">
        <f>(BB141-X141)/X141</f>
        <v>-8.7456227186569813E-2</v>
      </c>
      <c r="BG141" s="363"/>
      <c r="BH141" s="363"/>
      <c r="BI141" s="401">
        <f>SUM(BI127:BI139)</f>
        <v>1485842</v>
      </c>
      <c r="BJ141" s="348">
        <f t="shared" si="156"/>
        <v>-48487.095559999812</v>
      </c>
      <c r="BK141" s="401">
        <f>SUM(BK127:BK139)</f>
        <v>1490324</v>
      </c>
      <c r="BL141" s="402">
        <f>SUM(BL127:BL140)</f>
        <v>1646626.1924296094</v>
      </c>
      <c r="BM141" s="340">
        <f t="shared" si="158"/>
        <v>58479.778895774623</v>
      </c>
      <c r="BN141" s="339">
        <f>BM141/AF141</f>
        <v>3.6822662191233001E-2</v>
      </c>
      <c r="BO141" s="338">
        <f>'FY 2016 by Agency'!AX142*Inflator!$E$13</f>
        <v>1674281.2255111381</v>
      </c>
      <c r="BP141" s="338">
        <f t="shared" si="84"/>
        <v>86134.811977303354</v>
      </c>
      <c r="BQ141" s="339">
        <f t="shared" si="85"/>
        <v>5.4236064913966001E-2</v>
      </c>
      <c r="BR141" s="352">
        <f>SUM(BR127:BR140)</f>
        <v>1728978.3522050059</v>
      </c>
      <c r="BS141" s="338">
        <f t="shared" si="86"/>
        <v>54697.126693867845</v>
      </c>
      <c r="BT141" s="339">
        <f t="shared" si="87"/>
        <v>3.2669019911615783E-2</v>
      </c>
      <c r="BU141" s="338">
        <f>SUM(BU127:BU139)</f>
        <v>1732563.1010131107</v>
      </c>
      <c r="BV141" s="340">
        <f t="shared" si="159"/>
        <v>85936.908583501354</v>
      </c>
      <c r="BW141" s="352">
        <f>SUM(BW127:BW139)</f>
        <v>1661274</v>
      </c>
      <c r="BX141" s="338">
        <f>SUM(BX127:BX139)</f>
        <v>1810217.2319261211</v>
      </c>
      <c r="BY141" s="338">
        <f>'FY 2016 by Agency'!BZ142*Inflator!$E$15</f>
        <v>1803407.6569920843</v>
      </c>
      <c r="BZ141" s="352">
        <f>BW141-BR141</f>
        <v>-67704.35220500594</v>
      </c>
      <c r="CA141" s="339">
        <f>BZ141/BR141</f>
        <v>-3.9158588723023059E-2</v>
      </c>
      <c r="CB141" s="674">
        <f>'FY 2016 by Agency'!CF142*Inflator!$E$16</f>
        <v>1837627.80017326</v>
      </c>
      <c r="CC141" s="352">
        <f t="shared" si="142"/>
        <v>34220.143181175692</v>
      </c>
      <c r="CD141" s="342">
        <f t="shared" si="143"/>
        <v>1.8975267765166139E-2</v>
      </c>
      <c r="CE141" s="309">
        <f>'FY 2016 by Agency'!CK142*Inflator!$E$17</f>
        <v>1950630.9164069144</v>
      </c>
      <c r="CF141" s="368">
        <f>CE141-CB141</f>
        <v>113003.11623365432</v>
      </c>
      <c r="CG141" s="608">
        <f>CF141/CB141</f>
        <v>6.1494017571458087E-2</v>
      </c>
      <c r="CH141" s="754">
        <f>'FY 2016 by Agency'!CN142*Inflator!$E$18</f>
        <v>1947076</v>
      </c>
      <c r="CI141" s="754">
        <f t="shared" si="162"/>
        <v>-3554.916406914359</v>
      </c>
      <c r="CJ141" s="397">
        <f>CI141/CE141</f>
        <v>-1.8224444086339807E-3</v>
      </c>
    </row>
    <row r="142" spans="1:169" s="65" customFormat="1" ht="18" customHeight="1" x14ac:dyDescent="0.25">
      <c r="A142" s="363"/>
      <c r="B142" s="302"/>
      <c r="C142" s="302"/>
      <c r="D142" s="302"/>
      <c r="E142" s="303"/>
      <c r="F142" s="204"/>
      <c r="G142" s="204"/>
      <c r="H142" s="199"/>
      <c r="I142" s="204"/>
      <c r="J142" s="204"/>
      <c r="K142" s="199"/>
      <c r="L142" s="204"/>
      <c r="M142" s="204"/>
      <c r="N142" s="199"/>
      <c r="O142" s="204"/>
      <c r="P142" s="358"/>
      <c r="Q142" s="356"/>
      <c r="R142" s="204"/>
      <c r="S142" s="358"/>
      <c r="T142" s="356"/>
      <c r="U142" s="204"/>
      <c r="V142" s="358"/>
      <c r="W142" s="342"/>
      <c r="X142" s="204"/>
      <c r="Y142" s="358"/>
      <c r="Z142" s="356"/>
      <c r="AA142" s="204"/>
      <c r="AB142" s="358"/>
      <c r="AC142" s="356"/>
      <c r="AD142" s="204" t="e">
        <f>'FY 2016 by Agency'!AD143*Inflator!#REF!</f>
        <v>#REF!</v>
      </c>
      <c r="AE142" s="358"/>
      <c r="AF142" s="204"/>
      <c r="AG142" s="204"/>
      <c r="AH142" s="304"/>
      <c r="AI142" s="358"/>
      <c r="AJ142" s="358"/>
      <c r="AK142" s="358"/>
      <c r="AL142" s="358"/>
      <c r="AM142" s="358"/>
      <c r="AN142" s="358"/>
      <c r="AO142" s="358"/>
      <c r="AP142" s="358"/>
      <c r="AQ142" s="358"/>
      <c r="AR142" s="358"/>
      <c r="AS142" s="358"/>
      <c r="AT142" s="358"/>
      <c r="AU142" s="356"/>
      <c r="AV142" s="358"/>
      <c r="AW142" s="356"/>
      <c r="AX142" s="397"/>
      <c r="AY142" s="397"/>
      <c r="AZ142" s="418">
        <f>+AZ141+AS141</f>
        <v>1512687.2941700004</v>
      </c>
      <c r="BA142" s="397"/>
      <c r="BB142" s="397"/>
      <c r="BC142" s="397"/>
      <c r="BD142" s="430"/>
      <c r="BE142" s="229"/>
      <c r="BI142" s="365"/>
      <c r="BK142" s="371"/>
      <c r="BL142" s="405"/>
      <c r="BM142" s="204"/>
      <c r="BN142" s="199"/>
      <c r="BP142" s="204"/>
      <c r="BQ142" s="66"/>
      <c r="BR142" s="204"/>
      <c r="BS142" s="204"/>
      <c r="BT142" s="66"/>
      <c r="BU142" s="204"/>
      <c r="BV142" s="204"/>
      <c r="BW142" s="206"/>
      <c r="BY142" s="206"/>
      <c r="BZ142" s="206"/>
      <c r="CA142" s="199"/>
      <c r="CC142" s="206"/>
      <c r="CD142" s="356"/>
      <c r="CG142" s="624"/>
    </row>
    <row r="143" spans="1:169" s="65" customFormat="1" ht="18" customHeight="1" x14ac:dyDescent="0.25">
      <c r="A143" s="363"/>
      <c r="B143" s="302"/>
      <c r="C143" s="302"/>
      <c r="D143" s="302"/>
      <c r="E143" s="303"/>
      <c r="F143" s="204"/>
      <c r="G143" s="204"/>
      <c r="H143" s="199"/>
      <c r="I143" s="204"/>
      <c r="J143" s="204"/>
      <c r="K143" s="199"/>
      <c r="L143" s="204"/>
      <c r="M143" s="204"/>
      <c r="N143" s="199"/>
      <c r="O143" s="204"/>
      <c r="P143" s="358"/>
      <c r="Q143" s="356"/>
      <c r="R143" s="204"/>
      <c r="S143" s="358"/>
      <c r="T143" s="356"/>
      <c r="U143" s="204"/>
      <c r="V143" s="358"/>
      <c r="W143" s="342"/>
      <c r="X143" s="204"/>
      <c r="Y143" s="358"/>
      <c r="Z143" s="356"/>
      <c r="AA143" s="204"/>
      <c r="AB143" s="358"/>
      <c r="AC143" s="356"/>
      <c r="AD143" s="204" t="e">
        <f>'FY 2016 by Agency'!AD144*Inflator!#REF!</f>
        <v>#REF!</v>
      </c>
      <c r="AE143" s="358"/>
      <c r="AF143" s="204"/>
      <c r="AG143" s="204"/>
      <c r="AH143" s="304"/>
      <c r="AI143" s="358"/>
      <c r="AJ143" s="358"/>
      <c r="AK143" s="358"/>
      <c r="AL143" s="358"/>
      <c r="AM143" s="358"/>
      <c r="AN143" s="358"/>
      <c r="AO143" s="358"/>
      <c r="AP143" s="358"/>
      <c r="AQ143" s="358"/>
      <c r="AR143" s="358"/>
      <c r="AS143" s="358"/>
      <c r="AT143" s="358" t="e">
        <f>AR141-AD143</f>
        <v>#REF!</v>
      </c>
      <c r="AU143" s="356" t="e">
        <f>AT143/AD143</f>
        <v>#REF!</v>
      </c>
      <c r="AV143" s="358">
        <f>AS141-AF143</f>
        <v>1501762.1986100003</v>
      </c>
      <c r="AW143" s="367" t="e">
        <f>AV143/AF143</f>
        <v>#DIV/0!</v>
      </c>
      <c r="AX143" s="397"/>
      <c r="AY143" s="397"/>
      <c r="AZ143" s="418">
        <f>+AZ142-AF143</f>
        <v>1512687.2941700004</v>
      </c>
      <c r="BA143" s="397"/>
      <c r="BB143" s="397"/>
      <c r="BC143" s="397"/>
      <c r="BD143" s="430"/>
      <c r="BE143" s="229"/>
      <c r="BI143" s="365"/>
      <c r="BK143" s="371"/>
      <c r="BL143" s="405"/>
      <c r="BM143" s="204"/>
      <c r="BN143" s="199"/>
      <c r="BP143" s="204"/>
      <c r="BQ143" s="66"/>
      <c r="BR143" s="204"/>
      <c r="BS143" s="204"/>
      <c r="BT143" s="66"/>
      <c r="BU143" s="204"/>
      <c r="BV143" s="204"/>
      <c r="BW143" s="206"/>
      <c r="BY143" s="206"/>
      <c r="BZ143" s="206"/>
      <c r="CA143" s="199"/>
      <c r="CC143" s="206"/>
      <c r="CD143" s="356"/>
      <c r="CG143" s="624"/>
    </row>
    <row r="144" spans="1:169" s="65" customFormat="1" ht="19.5" customHeight="1" x14ac:dyDescent="0.25">
      <c r="A144" s="363"/>
      <c r="B144" s="302"/>
      <c r="C144" s="302"/>
      <c r="D144" s="302"/>
      <c r="E144" s="303"/>
      <c r="F144" s="204"/>
      <c r="G144" s="204"/>
      <c r="H144" s="199"/>
      <c r="I144" s="204"/>
      <c r="J144" s="204"/>
      <c r="K144" s="199"/>
      <c r="L144" s="204"/>
      <c r="M144" s="204"/>
      <c r="N144" s="199"/>
      <c r="O144" s="204"/>
      <c r="P144" s="358"/>
      <c r="Q144" s="356"/>
      <c r="R144" s="204"/>
      <c r="S144" s="358"/>
      <c r="T144" s="356"/>
      <c r="U144" s="204"/>
      <c r="V144" s="358"/>
      <c r="W144" s="356"/>
      <c r="X144" s="204"/>
      <c r="Y144" s="304"/>
      <c r="Z144" s="304"/>
      <c r="AA144" s="204"/>
      <c r="AC144" s="365"/>
      <c r="AD144" s="204" t="e">
        <f>'FY 2016 by Agency'!AD145*Inflator!#REF!</f>
        <v>#REF!</v>
      </c>
      <c r="AE144" s="403"/>
      <c r="AF144" s="404"/>
      <c r="AG144" s="404"/>
      <c r="AH144" s="404"/>
      <c r="AI144" s="404"/>
      <c r="AM144" s="307"/>
      <c r="AN144" s="374"/>
      <c r="AO144" s="367"/>
      <c r="AP144" s="358"/>
      <c r="AQ144" s="358"/>
      <c r="AR144" s="358"/>
      <c r="AS144" s="204"/>
      <c r="AT144" s="204"/>
      <c r="AU144" s="368"/>
      <c r="AV144" s="367"/>
      <c r="AW144" s="354"/>
      <c r="AZ144" s="356" t="e">
        <f>+AZ143/AF143</f>
        <v>#DIV/0!</v>
      </c>
      <c r="BD144" s="369"/>
      <c r="BE144" s="370"/>
      <c r="BI144" s="365"/>
      <c r="BK144" s="371"/>
      <c r="BL144" s="405"/>
      <c r="BM144" s="204"/>
      <c r="BN144" s="199"/>
      <c r="BP144" s="204"/>
      <c r="BQ144" s="66"/>
      <c r="BR144" s="204"/>
      <c r="BS144" s="204"/>
      <c r="BT144" s="66"/>
      <c r="BU144" s="204"/>
      <c r="BV144" s="204"/>
      <c r="BW144" s="206"/>
      <c r="BX144" s="358"/>
      <c r="BY144" s="206"/>
      <c r="BZ144" s="206"/>
      <c r="CA144" s="199"/>
      <c r="CC144" s="206"/>
      <c r="CD144" s="356"/>
      <c r="CG144" s="624"/>
    </row>
    <row r="145" spans="1:88" ht="18" customHeight="1" x14ac:dyDescent="0.25">
      <c r="A145" s="373" t="s">
        <v>252</v>
      </c>
      <c r="B145" s="302"/>
      <c r="C145" s="302"/>
      <c r="D145" s="302"/>
      <c r="E145" s="303"/>
      <c r="F145" s="204"/>
      <c r="G145" s="204"/>
      <c r="I145" s="204"/>
      <c r="J145" s="204"/>
      <c r="L145" s="204"/>
      <c r="M145" s="204"/>
      <c r="O145" s="204"/>
      <c r="Q145" s="304"/>
      <c r="R145" s="204"/>
      <c r="S145" s="204"/>
      <c r="T145" s="304"/>
      <c r="U145" s="204"/>
      <c r="V145" s="204"/>
      <c r="W145" s="304"/>
      <c r="X145" s="204"/>
      <c r="Y145" s="204"/>
      <c r="Z145" s="204"/>
      <c r="AA145" s="204"/>
      <c r="AD145" s="204" t="e">
        <f>'FY 2016 by Agency'!AD146*Inflator!#REF!</f>
        <v>#REF!</v>
      </c>
      <c r="AI145" s="202"/>
      <c r="AM145" s="307"/>
      <c r="AN145" s="374"/>
      <c r="AZ145" s="200"/>
      <c r="BD145" s="359"/>
      <c r="BI145" s="200"/>
      <c r="BL145" s="405"/>
      <c r="BN145" s="199"/>
      <c r="BP145" s="204"/>
      <c r="BR145" s="204"/>
      <c r="BS145" s="204"/>
      <c r="BW145" s="206"/>
      <c r="BY145" s="206"/>
      <c r="BZ145" s="206"/>
      <c r="CA145" s="199"/>
      <c r="CC145" s="206"/>
      <c r="CD145" s="304"/>
      <c r="CG145" s="562"/>
    </row>
    <row r="146" spans="1:88" ht="18" customHeight="1" x14ac:dyDescent="0.25">
      <c r="A146" s="373" t="s">
        <v>441</v>
      </c>
      <c r="B146" s="302"/>
      <c r="C146" s="302"/>
      <c r="D146" s="302"/>
      <c r="E146" s="303"/>
      <c r="F146" s="204"/>
      <c r="G146" s="204"/>
      <c r="I146" s="204"/>
      <c r="J146" s="204"/>
      <c r="L146" s="204"/>
      <c r="M146" s="204"/>
      <c r="O146" s="204"/>
      <c r="Q146" s="304"/>
      <c r="R146" s="204"/>
      <c r="S146" s="204"/>
      <c r="T146" s="304"/>
      <c r="U146" s="204"/>
      <c r="V146" s="204"/>
      <c r="W146" s="304"/>
      <c r="X146" s="204"/>
      <c r="AA146" s="204"/>
      <c r="AD146" s="204"/>
      <c r="AI146" s="202"/>
      <c r="AM146" s="307"/>
      <c r="AN146" s="374"/>
      <c r="AZ146" s="200"/>
      <c r="BD146" s="359"/>
      <c r="BI146" s="200"/>
      <c r="BL146" s="405"/>
      <c r="BN146" s="199"/>
      <c r="BP146" s="204"/>
      <c r="BR146" s="204"/>
      <c r="BS146" s="204"/>
      <c r="BW146" s="206"/>
      <c r="BY146" s="206"/>
      <c r="BZ146" s="206"/>
      <c r="CA146" s="199"/>
      <c r="CC146" s="206"/>
      <c r="CD146" s="304"/>
      <c r="CG146" s="562"/>
    </row>
    <row r="147" spans="1:88" ht="18" customHeight="1" x14ac:dyDescent="0.25">
      <c r="A147" s="373" t="s">
        <v>255</v>
      </c>
      <c r="B147" s="302"/>
      <c r="C147" s="302"/>
      <c r="D147" s="302"/>
      <c r="E147" s="303"/>
      <c r="F147" s="204"/>
      <c r="G147" s="204"/>
      <c r="I147" s="204"/>
      <c r="J147" s="204"/>
      <c r="L147" s="204"/>
      <c r="M147" s="204"/>
      <c r="O147" s="204"/>
      <c r="P147" s="317"/>
      <c r="Q147" s="316"/>
      <c r="R147" s="204"/>
      <c r="S147" s="204"/>
      <c r="T147" s="304"/>
      <c r="U147" s="204"/>
      <c r="V147" s="204"/>
      <c r="W147" s="304"/>
      <c r="X147" s="204"/>
      <c r="AA147" s="204"/>
      <c r="AD147" s="204"/>
      <c r="AI147" s="202"/>
      <c r="AM147" s="307"/>
      <c r="AN147" s="374"/>
      <c r="AZ147" s="200"/>
      <c r="BD147" s="359"/>
      <c r="BI147" s="200"/>
      <c r="BL147" s="405"/>
      <c r="BN147" s="199"/>
      <c r="BP147" s="204"/>
      <c r="BR147" s="204"/>
      <c r="BS147" s="204"/>
      <c r="BW147" s="206"/>
      <c r="BY147" s="206"/>
      <c r="BZ147" s="206"/>
      <c r="CA147" s="199"/>
      <c r="CC147" s="206"/>
      <c r="CD147" s="304"/>
      <c r="CG147" s="562"/>
    </row>
    <row r="148" spans="1:88" ht="18" customHeight="1" x14ac:dyDescent="0.25">
      <c r="A148" s="373" t="s">
        <v>256</v>
      </c>
      <c r="B148" s="302"/>
      <c r="C148" s="302"/>
      <c r="D148" s="302"/>
      <c r="E148" s="303"/>
      <c r="F148" s="204"/>
      <c r="G148" s="204"/>
      <c r="I148" s="204"/>
      <c r="J148" s="204"/>
      <c r="L148" s="204"/>
      <c r="M148" s="204"/>
      <c r="O148" s="204"/>
      <c r="P148" s="317"/>
      <c r="Q148" s="316"/>
      <c r="R148" s="204"/>
      <c r="S148" s="204"/>
      <c r="T148" s="304"/>
      <c r="U148" s="204"/>
      <c r="V148" s="204"/>
      <c r="W148" s="304"/>
      <c r="X148" s="204"/>
      <c r="AA148" s="204"/>
      <c r="AD148" s="204"/>
      <c r="AI148" s="202"/>
      <c r="AM148" s="307"/>
      <c r="AN148" s="374"/>
      <c r="AZ148" s="200"/>
      <c r="BD148" s="359"/>
      <c r="BI148" s="200"/>
      <c r="BL148" s="405"/>
      <c r="BN148" s="199"/>
      <c r="BP148" s="204"/>
      <c r="BR148" s="204"/>
      <c r="BS148" s="204"/>
      <c r="BW148" s="206"/>
      <c r="BY148" s="206"/>
      <c r="BZ148" s="206"/>
      <c r="CA148" s="199"/>
      <c r="CC148" s="206"/>
      <c r="CD148" s="304"/>
      <c r="CG148" s="562"/>
    </row>
    <row r="149" spans="1:88" ht="18" customHeight="1" x14ac:dyDescent="0.25">
      <c r="A149" s="373" t="s">
        <v>257</v>
      </c>
      <c r="B149" s="302"/>
      <c r="C149" s="302"/>
      <c r="D149" s="302"/>
      <c r="E149" s="303"/>
      <c r="F149" s="204"/>
      <c r="G149" s="204"/>
      <c r="I149" s="204"/>
      <c r="J149" s="204"/>
      <c r="L149" s="204"/>
      <c r="M149" s="204"/>
      <c r="O149" s="204"/>
      <c r="P149" s="317"/>
      <c r="Q149" s="316"/>
      <c r="R149" s="204"/>
      <c r="S149" s="204"/>
      <c r="T149" s="304"/>
      <c r="U149" s="204"/>
      <c r="V149" s="204"/>
      <c r="W149" s="304"/>
      <c r="X149" s="204"/>
      <c r="AA149" s="204"/>
      <c r="AD149" s="204"/>
      <c r="AI149" s="202"/>
      <c r="AM149" s="307"/>
      <c r="AN149" s="374"/>
      <c r="AZ149" s="200"/>
      <c r="BD149" s="359"/>
      <c r="BI149" s="200"/>
      <c r="BL149" s="405"/>
      <c r="BN149" s="199"/>
      <c r="BP149" s="204"/>
      <c r="BR149" s="204"/>
      <c r="BS149" s="204"/>
      <c r="BW149" s="206"/>
      <c r="BY149" s="206"/>
      <c r="BZ149" s="206"/>
      <c r="CA149" s="199"/>
      <c r="CC149" s="206"/>
      <c r="CD149" s="304"/>
      <c r="CG149" s="562"/>
    </row>
    <row r="150" spans="1:88" ht="18" customHeight="1" x14ac:dyDescent="0.25">
      <c r="A150" s="373" t="s">
        <v>258</v>
      </c>
      <c r="B150" s="302"/>
      <c r="C150" s="302"/>
      <c r="D150" s="302"/>
      <c r="E150" s="303"/>
      <c r="F150" s="204"/>
      <c r="G150" s="204"/>
      <c r="I150" s="204"/>
      <c r="J150" s="204"/>
      <c r="L150" s="204"/>
      <c r="M150" s="204"/>
      <c r="O150" s="204"/>
      <c r="P150" s="317"/>
      <c r="Q150" s="316"/>
      <c r="R150" s="204"/>
      <c r="S150" s="204"/>
      <c r="T150" s="304"/>
      <c r="U150" s="204"/>
      <c r="V150" s="204"/>
      <c r="W150" s="304"/>
      <c r="X150" s="204"/>
      <c r="AA150" s="204"/>
      <c r="AD150" s="204"/>
      <c r="AI150" s="202"/>
      <c r="AM150" s="307"/>
      <c r="AN150" s="374"/>
      <c r="AZ150" s="200"/>
      <c r="BD150" s="359"/>
      <c r="BI150" s="200"/>
      <c r="BL150" s="405"/>
      <c r="BN150" s="199"/>
      <c r="BP150" s="204"/>
      <c r="BR150" s="204"/>
      <c r="BS150" s="204"/>
      <c r="BW150" s="206"/>
      <c r="BY150" s="206"/>
      <c r="BZ150" s="206"/>
      <c r="CA150" s="199"/>
      <c r="CC150" s="206"/>
      <c r="CD150" s="304"/>
      <c r="CG150" s="562"/>
    </row>
    <row r="151" spans="1:88" ht="18" customHeight="1" x14ac:dyDescent="0.25">
      <c r="A151" s="373" t="s">
        <v>259</v>
      </c>
      <c r="B151" s="302"/>
      <c r="C151" s="302"/>
      <c r="D151" s="302"/>
      <c r="E151" s="303"/>
      <c r="F151" s="204"/>
      <c r="G151" s="204"/>
      <c r="I151" s="204"/>
      <c r="J151" s="204"/>
      <c r="L151" s="204"/>
      <c r="M151" s="204"/>
      <c r="O151" s="204"/>
      <c r="P151" s="317"/>
      <c r="Q151" s="316"/>
      <c r="R151" s="204"/>
      <c r="S151" s="204"/>
      <c r="T151" s="304"/>
      <c r="U151" s="204"/>
      <c r="V151" s="204"/>
      <c r="W151" s="304"/>
      <c r="X151" s="204"/>
      <c r="AA151" s="204"/>
      <c r="AD151" s="204"/>
      <c r="AI151" s="202"/>
      <c r="AM151" s="307"/>
      <c r="AN151" s="374"/>
      <c r="AZ151" s="200"/>
      <c r="BD151" s="359"/>
      <c r="BI151" s="200"/>
      <c r="BL151" s="405"/>
      <c r="BN151" s="199"/>
      <c r="BP151" s="204"/>
      <c r="BR151" s="204"/>
      <c r="BS151" s="204"/>
      <c r="BW151" s="206"/>
      <c r="BY151" s="206"/>
      <c r="BZ151" s="206"/>
      <c r="CA151" s="199"/>
      <c r="CC151" s="206"/>
      <c r="CD151" s="304"/>
      <c r="CG151" s="562"/>
    </row>
    <row r="152" spans="1:88" ht="18" customHeight="1" x14ac:dyDescent="0.25">
      <c r="A152" s="373" t="s">
        <v>260</v>
      </c>
      <c r="B152" s="302"/>
      <c r="C152" s="302"/>
      <c r="D152" s="302"/>
      <c r="E152" s="303"/>
      <c r="F152" s="204"/>
      <c r="G152" s="204"/>
      <c r="I152" s="204"/>
      <c r="J152" s="204"/>
      <c r="L152" s="204"/>
      <c r="M152" s="204"/>
      <c r="O152" s="204"/>
      <c r="P152" s="317"/>
      <c r="Q152" s="316"/>
      <c r="R152" s="204"/>
      <c r="S152" s="204"/>
      <c r="T152" s="304"/>
      <c r="U152" s="204"/>
      <c r="V152" s="204"/>
      <c r="W152" s="304"/>
      <c r="X152" s="204">
        <f>618966/X171</f>
        <v>0.94310323683818953</v>
      </c>
      <c r="AA152" s="204"/>
      <c r="AD152" s="204"/>
      <c r="AI152" s="202"/>
      <c r="AM152" s="307"/>
      <c r="AN152" s="374"/>
      <c r="AZ152" s="200"/>
      <c r="BD152" s="359"/>
      <c r="BI152" s="200"/>
      <c r="BL152" s="405"/>
      <c r="BN152" s="199"/>
      <c r="BP152" s="204"/>
      <c r="BR152" s="204"/>
      <c r="BS152" s="204"/>
      <c r="BU152" s="315"/>
      <c r="BW152" s="206"/>
      <c r="BY152" s="206"/>
      <c r="BZ152" s="206"/>
      <c r="CA152" s="199"/>
      <c r="CC152" s="206"/>
      <c r="CD152" s="304"/>
      <c r="CG152" s="562"/>
    </row>
    <row r="153" spans="1:88" s="289" customFormat="1" ht="18" customHeight="1" x14ac:dyDescent="0.25">
      <c r="A153" s="283" t="s">
        <v>261</v>
      </c>
      <c r="B153" s="375"/>
      <c r="C153" s="375"/>
      <c r="D153" s="375"/>
      <c r="E153" s="376"/>
      <c r="F153" s="287"/>
      <c r="G153" s="287"/>
      <c r="H153" s="288"/>
      <c r="I153" s="287"/>
      <c r="J153" s="287"/>
      <c r="K153" s="288"/>
      <c r="L153" s="287"/>
      <c r="M153" s="287"/>
      <c r="N153" s="288"/>
      <c r="O153" s="287"/>
      <c r="P153" s="285"/>
      <c r="Q153" s="377"/>
      <c r="R153" s="287"/>
      <c r="S153" s="287"/>
      <c r="T153" s="407"/>
      <c r="U153" s="287"/>
      <c r="V153" s="287"/>
      <c r="W153" s="407"/>
      <c r="X153" s="287"/>
      <c r="AA153" s="287"/>
      <c r="AC153" s="290"/>
      <c r="AD153" s="287"/>
      <c r="AE153" s="291"/>
      <c r="AF153" s="292"/>
      <c r="AG153" s="292"/>
      <c r="AH153" s="292"/>
      <c r="AI153" s="292"/>
      <c r="AM153" s="383"/>
      <c r="AN153" s="384"/>
      <c r="AO153" s="295"/>
      <c r="AP153" s="287"/>
      <c r="AQ153" s="287"/>
      <c r="AR153" s="287"/>
      <c r="AS153" s="287"/>
      <c r="AT153" s="287"/>
      <c r="AU153" s="296"/>
      <c r="AV153" s="295"/>
      <c r="AW153" s="287"/>
      <c r="AZ153" s="290"/>
      <c r="BD153" s="297"/>
      <c r="BE153" s="298"/>
      <c r="BI153" s="290"/>
      <c r="BK153" s="299"/>
      <c r="BL153" s="408"/>
      <c r="BM153" s="287"/>
      <c r="BN153" s="288"/>
      <c r="BP153" s="287"/>
      <c r="BR153" s="287"/>
      <c r="BS153" s="287"/>
      <c r="BU153" s="287"/>
      <c r="BV153" s="287"/>
      <c r="BW153" s="296"/>
      <c r="BY153" s="296"/>
      <c r="BZ153" s="296"/>
      <c r="CA153" s="288"/>
      <c r="CC153" s="296"/>
      <c r="CD153" s="407"/>
      <c r="CG153" s="677"/>
    </row>
    <row r="154" spans="1:88" ht="18" customHeight="1" x14ac:dyDescent="0.25">
      <c r="A154" s="312" t="s">
        <v>262</v>
      </c>
      <c r="B154" s="302">
        <f>'FY 2016 by Agency'!B155*Inflator!$E$2</f>
        <v>146494.70454545453</v>
      </c>
      <c r="C154" s="302">
        <f>'FY 2016 by Agency'!C155*Inflator!$E$3</f>
        <v>142183.45710973727</v>
      </c>
      <c r="D154" s="302">
        <f t="shared" ref="D154:D211" si="166">C154-B154</f>
        <v>-4311.2474357172614</v>
      </c>
      <c r="E154" s="303">
        <f>(C154-B154)/B154</f>
        <v>-2.9429373908731037E-2</v>
      </c>
      <c r="F154" s="204">
        <f>'FY 2016 by Agency'!F155*Inflator!$E$4</f>
        <v>139510.29958127142</v>
      </c>
      <c r="G154" s="204">
        <f t="shared" ref="G154:G211" si="167">F154-C154</f>
        <v>-2673.1575284658466</v>
      </c>
      <c r="H154" s="199">
        <f>(F154-C154)/C154</f>
        <v>-1.8800763343394457E-2</v>
      </c>
      <c r="I154" s="204">
        <f>'FY 2016 by Agency'!I155*Inflator!$E$5</f>
        <v>198317.748977315</v>
      </c>
      <c r="J154" s="204">
        <f t="shared" ref="J154:J211" si="168">I154-F154</f>
        <v>58807.449396043579</v>
      </c>
      <c r="K154" s="199">
        <f t="shared" ref="K154:K210" si="169">(I154-F154)/F154</f>
        <v>0.4215276547505758</v>
      </c>
      <c r="L154" s="204">
        <f>'FY 2016 by Agency'!L155*Inflator!$E$6</f>
        <v>200331.25299890948</v>
      </c>
      <c r="M154" s="204">
        <f t="shared" ref="M154:M211" si="170">L154-I154</f>
        <v>2013.5040215944755</v>
      </c>
      <c r="N154" s="199">
        <f t="shared" ref="N154:N210" si="171">(L154-I154)/I154</f>
        <v>1.0152918898977592E-2</v>
      </c>
      <c r="O154" s="204">
        <f>'FY 2016 by Agency'!O155*Inflator!$E$7</f>
        <v>211680.37170010558</v>
      </c>
      <c r="P154" s="204">
        <f>O154-L154</f>
        <v>11349.118701196101</v>
      </c>
      <c r="Q154" s="304">
        <f>P154/L154</f>
        <v>5.6651763173756427E-2</v>
      </c>
      <c r="R154" s="204">
        <f>'FY 2016 by Agency'!R155*Inflator!$E$8</f>
        <v>78299.818737270878</v>
      </c>
      <c r="S154" s="204">
        <f t="shared" ref="S154:S174" si="172">R154-O154</f>
        <v>-133380.55296283471</v>
      </c>
      <c r="T154" s="304">
        <f>S154/O154</f>
        <v>-0.63010354664247881</v>
      </c>
      <c r="U154" s="204">
        <f>'FY 2016 by Agency'!U155*Inflator!$E$9</f>
        <v>176797.87201591508</v>
      </c>
      <c r="V154" s="204">
        <f>U154-R154</f>
        <v>98498.053278644205</v>
      </c>
      <c r="W154" s="304">
        <f>V154/R154</f>
        <v>1.2579601698587193</v>
      </c>
      <c r="X154" s="204">
        <f>'FY 2016 by Agency'!X155*Inflator!$E$10</f>
        <v>160926.75357256274</v>
      </c>
      <c r="Y154" s="206">
        <f>X154-U154</f>
        <v>-15871.118443352345</v>
      </c>
      <c r="Z154" s="304">
        <f>Y154/U154</f>
        <v>-8.9769849955680742E-2</v>
      </c>
      <c r="AA154" s="204">
        <f>'FY 2016 by Agency'!AA155*Inflator!$E$11</f>
        <v>197059.65148136351</v>
      </c>
      <c r="AB154" s="206">
        <f t="shared" ref="AB154:AB172" si="173">AA154-X154</f>
        <v>36132.897908800776</v>
      </c>
      <c r="AC154" s="304">
        <f t="shared" ref="AC154:AC170" si="174">AB154/X154</f>
        <v>0.22453008655585821</v>
      </c>
      <c r="AD154" s="204" t="e">
        <f>'FY 2016 by Agency'!AD155*Inflator!#REF!</f>
        <v>#REF!</v>
      </c>
      <c r="AE154" s="204">
        <f>'FY 2016 by Agency'!AE155*Inflator!$B$8</f>
        <v>0</v>
      </c>
      <c r="AF154" s="204">
        <f>'FY 2016 by Agency'!AF155*Inflator!$E$12</f>
        <v>159962.13815789475</v>
      </c>
      <c r="AG154" s="204">
        <f t="shared" ref="AG154:AG174" si="175">AF154-AA154</f>
        <v>-37097.513323468767</v>
      </c>
      <c r="AH154" s="304">
        <f t="shared" ref="AH154:AH174" si="176">AG154/AA154</f>
        <v>-0.18825524679757785</v>
      </c>
      <c r="AI154" s="204">
        <f>'FY 2016 by Agency'!AI155*Inflator!$B$8</f>
        <v>0</v>
      </c>
      <c r="AJ154" s="204">
        <f>'FY 2016 by Agency'!AJ155*Inflator!$B$8</f>
        <v>0</v>
      </c>
      <c r="AK154" s="204">
        <f>'FY 2016 by Agency'!AK155</f>
        <v>137301</v>
      </c>
      <c r="AL154" s="204">
        <f>'FY 2016 by Agency'!AL155</f>
        <v>11399</v>
      </c>
      <c r="AM154" s="204">
        <f>'FY 2016 by Agency'!AM155</f>
        <v>148700</v>
      </c>
      <c r="AN154" s="204">
        <f>'FY 2016 by Agency'!AN155</f>
        <v>143133</v>
      </c>
      <c r="AO154" s="204">
        <f>'FY 2016 by Agency'!AO155</f>
        <v>145083</v>
      </c>
      <c r="AP154" s="204">
        <f>'FY 2016 by Agency'!AP155</f>
        <v>0</v>
      </c>
      <c r="AQ154" s="204">
        <f>'FY 2016 by Agency'!AQ155</f>
        <v>425</v>
      </c>
      <c r="AR154" s="204">
        <f>'FY 2016 by Agency'!AR155</f>
        <v>425</v>
      </c>
      <c r="AS154" s="204">
        <f>'FY 2016 by Agency'!AS155</f>
        <v>138580.23599000002</v>
      </c>
      <c r="AT154" s="204" t="e">
        <f t="shared" ref="AT154:AT174" si="177">AR154-AD154</f>
        <v>#REF!</v>
      </c>
      <c r="AU154" s="304" t="e">
        <f t="shared" ref="AU154:AU174" si="178">AT154/AD154</f>
        <v>#REF!</v>
      </c>
      <c r="AV154" s="204">
        <f t="shared" ref="AV154:AV174" si="179">AS154-AF154</f>
        <v>-21381.902167894732</v>
      </c>
      <c r="AW154" s="304">
        <f t="shared" ref="AW154:AW174" si="180">AV154/AF154</f>
        <v>-0.13366851940169225</v>
      </c>
      <c r="AX154" s="305" t="s">
        <v>442</v>
      </c>
      <c r="AY154" s="200">
        <v>145085</v>
      </c>
      <c r="AZ154" s="200">
        <f t="shared" ref="AZ154:AZ171" si="181">+AY154-AO154</f>
        <v>2</v>
      </c>
      <c r="BA154" s="200">
        <f t="shared" ref="BA154:BA171" si="182">+AZ154+AV154</f>
        <v>-21379.902167894732</v>
      </c>
      <c r="BB154" s="200">
        <f t="shared" ref="BB154:BB171" si="183">+AZ154+AS154</f>
        <v>138582.23599000002</v>
      </c>
      <c r="BC154" s="304">
        <f t="shared" ref="BC154:BC171" si="184">+BB154/AF154-1</f>
        <v>-0.13365601644303571</v>
      </c>
      <c r="BD154" s="306">
        <v>11024.632</v>
      </c>
      <c r="BE154" s="199">
        <f>BD154/AY154</f>
        <v>7.5987400489368292E-2</v>
      </c>
      <c r="BF154" s="66">
        <v>5827</v>
      </c>
      <c r="BI154" s="200">
        <v>142325</v>
      </c>
      <c r="BJ154" s="200">
        <f>BI154-AY154</f>
        <v>-2760</v>
      </c>
      <c r="BK154" s="200">
        <f>BI154+AP154+AQ154</f>
        <v>142750</v>
      </c>
      <c r="BL154" s="307">
        <f>'FY 2016 by Agency'!BB155*Inflator!$E$13</f>
        <v>151899.08918888314</v>
      </c>
      <c r="BM154" s="204">
        <f>BL154-AF154</f>
        <v>-8063.0489690116083</v>
      </c>
      <c r="BN154" s="199">
        <f>BM154/AF154</f>
        <v>-5.0405983952607383E-2</v>
      </c>
      <c r="BO154" s="204">
        <f>'FY 2016 by Agency'!AX155*Inflator!$E$13</f>
        <v>171876.40372291731</v>
      </c>
      <c r="BP154" s="204">
        <f t="shared" ref="BP154:BP211" si="185">BO154-AF154</f>
        <v>11914.265565022564</v>
      </c>
      <c r="BQ154" s="304">
        <f t="shared" ref="BQ154:BQ211" si="186">BP154/AF154</f>
        <v>7.4481784891261463E-2</v>
      </c>
      <c r="BR154" s="204">
        <f>'FY 2016 by Agency'!BE155*Inflator!$E$14</f>
        <v>191720.18206197853</v>
      </c>
      <c r="BS154" s="204">
        <f t="shared" ref="BS154:BS211" si="187">BR154-BO154</f>
        <v>19843.778339061217</v>
      </c>
      <c r="BT154" s="304">
        <f t="shared" ref="BT154:BT211" si="188">BS154/BO154</f>
        <v>0.11545376741214261</v>
      </c>
      <c r="BU154" s="204">
        <f>'FY 2016 by Agency'!BL155*Inflator!$E$14</f>
        <v>191720.18206197853</v>
      </c>
      <c r="BV154" s="204">
        <f>BU154-BL154</f>
        <v>39821.092873095389</v>
      </c>
      <c r="BW154" s="206">
        <v>167135</v>
      </c>
      <c r="BX154" s="206">
        <f>'FY 2016 by Agency'!BW155*Inflator!E15</f>
        <v>200225.81882145995</v>
      </c>
      <c r="BY154" s="204">
        <f>'FY 2016 by Agency'!BZ155*Inflator!$E$15</f>
        <v>185114.5558487247</v>
      </c>
      <c r="BZ154" s="206">
        <f t="shared" ref="BZ154:BZ174" si="189">BW154-BR154</f>
        <v>-24585.182061978529</v>
      </c>
      <c r="CA154" s="199">
        <f t="shared" ref="CA154:CA207" si="190">BZ154/BR154</f>
        <v>-0.12823471059520863</v>
      </c>
      <c r="CB154" s="308">
        <f>'FY 2016 by Agency'!CF155*Inflator!$E$16</f>
        <v>224973.69217441522</v>
      </c>
      <c r="CC154" s="206">
        <f t="shared" ref="CC154:CC171" si="191">CB154-BY154</f>
        <v>39859.136325690517</v>
      </c>
      <c r="CD154" s="304">
        <f t="shared" ref="CD154:CD174" si="192">CC154/BY154</f>
        <v>0.21532145942247424</v>
      </c>
      <c r="CE154" s="206">
        <f>'FY 2016 by Agency'!CK155*Inflator!$E$17</f>
        <v>242119.76225559652</v>
      </c>
      <c r="CF154" s="206">
        <f>CE154-CB154</f>
        <v>17146.0700811813</v>
      </c>
      <c r="CG154" s="562">
        <f>CF154/CB154</f>
        <v>7.621366709796662E-2</v>
      </c>
      <c r="CH154" s="753">
        <f>'FY 2016 by Agency'!CN155*Inflator!$E$18</f>
        <v>269682</v>
      </c>
      <c r="CI154" s="753">
        <f>CH154-CE154</f>
        <v>27562.237744403479</v>
      </c>
      <c r="CJ154" s="304">
        <f>CI154/CE154</f>
        <v>0.11383720803140011</v>
      </c>
    </row>
    <row r="155" spans="1:88" ht="18" customHeight="1" x14ac:dyDescent="0.25">
      <c r="A155" s="312" t="s">
        <v>263</v>
      </c>
      <c r="B155" s="302">
        <f>'FY 2016 by Agency'!B156*Inflator!$E$2</f>
        <v>109072.63636363637</v>
      </c>
      <c r="C155" s="302">
        <f>'FY 2016 by Agency'!C156*Inflator!$E$3</f>
        <v>134426.14799072643</v>
      </c>
      <c r="D155" s="302">
        <f t="shared" si="166"/>
        <v>25353.511627090062</v>
      </c>
      <c r="E155" s="303">
        <f>(C155-B155)/B155</f>
        <v>0.23244612464086956</v>
      </c>
      <c r="F155" s="204">
        <f>'FY 2016 by Agency'!F156*Inflator!$E$4</f>
        <v>209710.50970689001</v>
      </c>
      <c r="G155" s="204">
        <f t="shared" si="167"/>
        <v>75284.361716163578</v>
      </c>
      <c r="H155" s="199">
        <f>(F155-C155)/C155</f>
        <v>0.56004254262613529</v>
      </c>
      <c r="I155" s="204">
        <f>'FY 2016 by Agency'!I156*Inflator!$E$5</f>
        <v>189277.42134622537</v>
      </c>
      <c r="J155" s="204">
        <f t="shared" si="168"/>
        <v>-20433.088360664638</v>
      </c>
      <c r="K155" s="199">
        <f t="shared" si="169"/>
        <v>-9.743473700590273E-2</v>
      </c>
      <c r="L155" s="204">
        <f>'FY 2016 by Agency'!L156*Inflator!$E$6</f>
        <v>166400.71101417666</v>
      </c>
      <c r="M155" s="204">
        <f t="shared" si="170"/>
        <v>-22876.710332048708</v>
      </c>
      <c r="N155" s="199">
        <f t="shared" si="171"/>
        <v>-0.12086338755747701</v>
      </c>
      <c r="O155" s="204">
        <f>'FY 2016 by Agency'!O156*Inflator!$E$7</f>
        <v>201934.13621964093</v>
      </c>
      <c r="P155" s="204">
        <f t="shared" ref="P155:P172" si="193">O155-L155</f>
        <v>35533.425205464271</v>
      </c>
      <c r="Q155" s="304">
        <f>P155/L155</f>
        <v>0.21354130633754906</v>
      </c>
      <c r="R155" s="204">
        <f>'FY 2016 by Agency'!R156*Inflator!$E$8</f>
        <v>203783.52749490837</v>
      </c>
      <c r="S155" s="204">
        <f t="shared" si="172"/>
        <v>1849.3912752674369</v>
      </c>
      <c r="T155" s="304">
        <f>S155/O155</f>
        <v>9.158388521571607E-3</v>
      </c>
      <c r="U155" s="204">
        <f>'FY 2016 by Agency'!U156*Inflator!$E$9</f>
        <v>217393.74270557027</v>
      </c>
      <c r="V155" s="204">
        <f t="shared" ref="V155:V172" si="194">U155-R155</f>
        <v>13610.215210661903</v>
      </c>
      <c r="W155" s="304">
        <f t="shared" ref="W155:W169" si="195">V155/R155</f>
        <v>6.6787612217586931E-2</v>
      </c>
      <c r="X155" s="204">
        <f>'FY 2016 by Agency'!X156*Inflator!$E$10</f>
        <v>315165.81740234996</v>
      </c>
      <c r="Y155" s="206">
        <f t="shared" ref="Y155:Y171" si="196">X155-U155</f>
        <v>97772.074696779688</v>
      </c>
      <c r="Z155" s="304">
        <f>Y155/U155</f>
        <v>0.44974649904803576</v>
      </c>
      <c r="AA155" s="204">
        <f>'FY 2016 by Agency'!AA156*Inflator!$E$11</f>
        <v>226780.09716470217</v>
      </c>
      <c r="AB155" s="206">
        <f t="shared" si="173"/>
        <v>-88385.720237647794</v>
      </c>
      <c r="AC155" s="304">
        <f t="shared" si="174"/>
        <v>-0.28044196215864359</v>
      </c>
      <c r="AD155" s="204" t="e">
        <f>'FY 2016 by Agency'!AD156*Inflator!#REF!</f>
        <v>#REF!</v>
      </c>
      <c r="AE155" s="204">
        <f>'FY 2016 by Agency'!AE156*Inflator!$B$8</f>
        <v>0</v>
      </c>
      <c r="AF155" s="204">
        <f>'FY 2016 by Agency'!AF156*Inflator!$E$12</f>
        <v>234068.57894736846</v>
      </c>
      <c r="AG155" s="204">
        <f t="shared" si="175"/>
        <v>7288.4817826662911</v>
      </c>
      <c r="AH155" s="304">
        <f t="shared" si="176"/>
        <v>3.2138983419576411E-2</v>
      </c>
      <c r="AI155" s="204">
        <f>'FY 2016 by Agency'!AI156*Inflator!$B$8</f>
        <v>0</v>
      </c>
      <c r="AJ155" s="204">
        <f>'FY 2016 by Agency'!AJ156*Inflator!$B$8</f>
        <v>0</v>
      </c>
      <c r="AK155" s="204">
        <f>'FY 2016 by Agency'!AK156</f>
        <v>195699</v>
      </c>
      <c r="AL155" s="204">
        <f>'FY 2016 by Agency'!AL156</f>
        <v>19805</v>
      </c>
      <c r="AM155" s="204">
        <f>'FY 2016 by Agency'!AM156</f>
        <v>215504</v>
      </c>
      <c r="AN155" s="204">
        <f>'FY 2016 by Agency'!AN156</f>
        <v>193830</v>
      </c>
      <c r="AO155" s="204">
        <f>'FY 2016 by Agency'!AO156</f>
        <v>194580</v>
      </c>
      <c r="AP155" s="204">
        <f>'FY 2016 by Agency'!AP156</f>
        <v>0</v>
      </c>
      <c r="AQ155" s="204">
        <f>'FY 2016 by Agency'!AQ156</f>
        <v>268</v>
      </c>
      <c r="AR155" s="204">
        <f>'FY 2016 by Agency'!AR156</f>
        <v>268</v>
      </c>
      <c r="AS155" s="204">
        <f>'FY 2016 by Agency'!AS156</f>
        <v>189655.9473</v>
      </c>
      <c r="AT155" s="204" t="e">
        <f t="shared" si="177"/>
        <v>#REF!</v>
      </c>
      <c r="AU155" s="304" t="e">
        <f t="shared" si="178"/>
        <v>#REF!</v>
      </c>
      <c r="AV155" s="204">
        <f t="shared" si="179"/>
        <v>-44412.631647368456</v>
      </c>
      <c r="AW155" s="304">
        <f t="shared" si="180"/>
        <v>-0.1897419630054441</v>
      </c>
      <c r="AX155" s="305" t="s">
        <v>443</v>
      </c>
      <c r="AY155" s="200">
        <v>196226</v>
      </c>
      <c r="AZ155" s="200">
        <f t="shared" si="181"/>
        <v>1646</v>
      </c>
      <c r="BA155" s="200">
        <f t="shared" si="182"/>
        <v>-42766.631647368456</v>
      </c>
      <c r="BB155" s="200">
        <f t="shared" si="183"/>
        <v>191301.9473</v>
      </c>
      <c r="BC155" s="304">
        <f t="shared" si="184"/>
        <v>-0.18270983589379908</v>
      </c>
      <c r="BD155" s="306">
        <v>13961.31</v>
      </c>
      <c r="BE155" s="199">
        <f>BD155/AY155</f>
        <v>7.1149134161629948E-2</v>
      </c>
      <c r="BI155" s="200">
        <v>192346</v>
      </c>
      <c r="BJ155" s="200">
        <f t="shared" ref="BJ155:BJ172" si="197">BI155-AY155</f>
        <v>-3880</v>
      </c>
      <c r="BK155" s="200">
        <f t="shared" ref="BK155:BK171" si="198">BI155+AP155+AQ155</f>
        <v>192614</v>
      </c>
      <c r="BL155" s="307">
        <f>'FY 2016 by Agency'!BB156*Inflator!$E$13</f>
        <v>208228.49378147695</v>
      </c>
      <c r="BM155" s="204">
        <f t="shared" ref="BM155:BM174" si="199">BL155-AF155</f>
        <v>-25840.085165891505</v>
      </c>
      <c r="BN155" s="199">
        <f t="shared" ref="BN155:BN174" si="200">BM155/AF155</f>
        <v>-0.11039536054816561</v>
      </c>
      <c r="BO155" s="204">
        <f>'FY 2016 by Agency'!AX156*Inflator!$E$13</f>
        <v>211480.81721086358</v>
      </c>
      <c r="BP155" s="204">
        <f t="shared" si="185"/>
        <v>-22587.761736504879</v>
      </c>
      <c r="BQ155" s="304">
        <f t="shared" si="186"/>
        <v>-9.6500614640736782E-2</v>
      </c>
      <c r="BR155" s="204">
        <f>'FY 2016 by Agency'!BE156*Inflator!$E$14</f>
        <v>187598.63349225267</v>
      </c>
      <c r="BS155" s="204">
        <f t="shared" si="187"/>
        <v>-23882.183718610904</v>
      </c>
      <c r="BT155" s="304">
        <f t="shared" si="188"/>
        <v>-0.11292836879289352</v>
      </c>
      <c r="BU155" s="204">
        <f>'FY 2016 by Agency'!BL156*Inflator!$E$14</f>
        <v>187598.63349225267</v>
      </c>
      <c r="BV155" s="204">
        <f t="shared" ref="BV155:BV174" si="201">BU155-BL155</f>
        <v>-20629.860289224278</v>
      </c>
      <c r="BW155" s="206">
        <v>192439</v>
      </c>
      <c r="BX155" s="206">
        <f>'FY 2016 by Agency'!BW156*Inflator!E15</f>
        <v>212400.59982409849</v>
      </c>
      <c r="BY155" s="204">
        <f>'FY 2016 by Agency'!BZ156*Inflator!$E$15</f>
        <v>175485.43007915566</v>
      </c>
      <c r="BZ155" s="206">
        <f t="shared" si="189"/>
        <v>4840.366507747327</v>
      </c>
      <c r="CA155" s="199">
        <f t="shared" si="190"/>
        <v>2.5801715170527727E-2</v>
      </c>
      <c r="CB155" s="308">
        <f>'FY 2016 by Agency'!CF156*Inflator!$E$16</f>
        <v>164480.12330349407</v>
      </c>
      <c r="CC155" s="206">
        <f t="shared" si="191"/>
        <v>-11005.306775661593</v>
      </c>
      <c r="CD155" s="304">
        <f t="shared" si="192"/>
        <v>-6.2713507159525797E-2</v>
      </c>
      <c r="CE155" s="206">
        <f>'FY 2016 by Agency'!CK156*Inflator!$E$17</f>
        <v>173133.90025502979</v>
      </c>
      <c r="CF155" s="206">
        <f t="shared" ref="CF155:CF173" si="202">CE155-CB155</f>
        <v>8653.7769515357213</v>
      </c>
      <c r="CG155" s="562">
        <f t="shared" ref="CG155:CG173" si="203">CF155/CB155</f>
        <v>5.2612904086702425E-2</v>
      </c>
      <c r="CH155" s="753">
        <f>'FY 2016 by Agency'!CN156*Inflator!$E$18</f>
        <v>165349</v>
      </c>
      <c r="CI155" s="753">
        <f t="shared" ref="CI155:CI175" si="204">CH155-CE155</f>
        <v>-7784.9002550297882</v>
      </c>
      <c r="CJ155" s="304">
        <f t="shared" ref="CJ155:CJ175" si="205">CI155/CE155</f>
        <v>-4.4964621276147941E-2</v>
      </c>
    </row>
    <row r="156" spans="1:88" ht="19.5" customHeight="1" x14ac:dyDescent="0.25">
      <c r="A156" s="312" t="s">
        <v>444</v>
      </c>
      <c r="B156" s="302">
        <f>'FY 2016 by Agency'!B157*Inflator!$E$2</f>
        <v>185599.03468899522</v>
      </c>
      <c r="C156" s="302">
        <f>'FY 2016 by Agency'!C157*Inflator!$E$3</f>
        <v>303086.3647604328</v>
      </c>
      <c r="D156" s="302">
        <f t="shared" si="166"/>
        <v>117487.33007143758</v>
      </c>
      <c r="E156" s="303">
        <f>(C156-B156)/B156</f>
        <v>0.63301692418987454</v>
      </c>
      <c r="F156" s="204">
        <f>'FY 2016 by Agency'!F157*Inflator!$E$4</f>
        <v>244400.52835934528</v>
      </c>
      <c r="G156" s="204">
        <f t="shared" si="167"/>
        <v>-58685.836401087523</v>
      </c>
      <c r="H156" s="199">
        <f>(F156-C156)/C156</f>
        <v>-0.19362743832925083</v>
      </c>
      <c r="I156" s="204">
        <f>'FY 2016 by Agency'!I157*Inflator!$E$5</f>
        <v>185096.92301970994</v>
      </c>
      <c r="J156" s="204">
        <f t="shared" si="168"/>
        <v>-59303.605339635338</v>
      </c>
      <c r="K156" s="199">
        <f t="shared" si="169"/>
        <v>-0.24264925177428617</v>
      </c>
      <c r="L156" s="204">
        <f>'FY 2016 by Agency'!L157*Inflator!$E$6</f>
        <v>180439.4449291167</v>
      </c>
      <c r="M156" s="204">
        <f t="shared" si="170"/>
        <v>-4657.4780905932421</v>
      </c>
      <c r="N156" s="199">
        <f t="shared" si="171"/>
        <v>-2.5162374471764143E-2</v>
      </c>
      <c r="O156" s="204">
        <f>'FY 2016 by Agency'!O157*Inflator!$E$7</f>
        <v>246208.80464625129</v>
      </c>
      <c r="P156" s="204">
        <f t="shared" si="193"/>
        <v>65769.35971713459</v>
      </c>
      <c r="Q156" s="304">
        <f>P156/L156</f>
        <v>0.36449546684745804</v>
      </c>
      <c r="R156" s="204">
        <f>'FY 2016 by Agency'!R157*Inflator!$E$8</f>
        <v>275935.25356415479</v>
      </c>
      <c r="S156" s="204">
        <f t="shared" si="172"/>
        <v>29726.448917903501</v>
      </c>
      <c r="T156" s="304">
        <f>S156/O156</f>
        <v>0.12073674197238383</v>
      </c>
      <c r="U156" s="204">
        <f>'FY 2016 by Agency'!U157*Inflator!$E$9</f>
        <v>266303.03415119363</v>
      </c>
      <c r="V156" s="204">
        <f t="shared" si="194"/>
        <v>-9632.2194129611598</v>
      </c>
      <c r="W156" s="304">
        <f t="shared" si="195"/>
        <v>-3.4907534606561874E-2</v>
      </c>
      <c r="X156" s="204">
        <f>'FY 2016 by Agency'!X157*Inflator!$E$10</f>
        <v>280646.12543664657</v>
      </c>
      <c r="Y156" s="206">
        <f t="shared" si="196"/>
        <v>14343.091285452945</v>
      </c>
      <c r="Z156" s="304">
        <f>Y156/U156</f>
        <v>5.3860037048281059E-2</v>
      </c>
      <c r="AA156" s="204">
        <f>'FY 2016 by Agency'!AA157*Inflator!$E$11</f>
        <v>283055.30710417335</v>
      </c>
      <c r="AB156" s="206">
        <f t="shared" si="173"/>
        <v>2409.1816675267764</v>
      </c>
      <c r="AC156" s="304">
        <f t="shared" si="174"/>
        <v>8.5844109330867214E-3</v>
      </c>
      <c r="AD156" s="204" t="e">
        <f>'FY 2016 by Agency'!AD157*Inflator!#REF!</f>
        <v>#REF!</v>
      </c>
      <c r="AE156" s="204">
        <f>'FY 2016 by Agency'!AE157*Inflator!$B$8</f>
        <v>0</v>
      </c>
      <c r="AF156" s="204">
        <f>'FY 2016 by Agency'!AF157*Inflator!$E$12</f>
        <v>244834.68609022559</v>
      </c>
      <c r="AG156" s="204">
        <f t="shared" si="175"/>
        <v>-38220.621013947763</v>
      </c>
      <c r="AH156" s="304">
        <f t="shared" si="176"/>
        <v>-0.1350288090513751</v>
      </c>
      <c r="AI156" s="204">
        <f>'FY 2016 by Agency'!AI157*Inflator!$B$8</f>
        <v>0</v>
      </c>
      <c r="AJ156" s="204">
        <f>'FY 2016 by Agency'!AJ157*Inflator!$B$8</f>
        <v>0</v>
      </c>
      <c r="AK156" s="204">
        <f>'FY 2016 by Agency'!AK157</f>
        <v>189781</v>
      </c>
      <c r="AL156" s="204">
        <f>'FY 2016 by Agency'!AL157</f>
        <v>2420</v>
      </c>
      <c r="AM156" s="204">
        <f>'FY 2016 by Agency'!AM157</f>
        <v>192201</v>
      </c>
      <c r="AN156" s="204">
        <f>'FY 2016 by Agency'!AN157</f>
        <v>167805</v>
      </c>
      <c r="AO156" s="204">
        <f>'FY 2016 by Agency'!AO157</f>
        <v>172432</v>
      </c>
      <c r="AP156" s="204">
        <f>'FY 2016 by Agency'!AP157</f>
        <v>0</v>
      </c>
      <c r="AQ156" s="204">
        <f>'FY 2016 by Agency'!AQ157</f>
        <v>922</v>
      </c>
      <c r="AR156" s="204">
        <f>'FY 2016 by Agency'!AR157</f>
        <v>922</v>
      </c>
      <c r="AS156" s="204">
        <f>'FY 2016 by Agency'!AS157</f>
        <v>188427.76788000003</v>
      </c>
      <c r="AT156" s="204" t="e">
        <f t="shared" si="177"/>
        <v>#REF!</v>
      </c>
      <c r="AU156" s="304" t="e">
        <f t="shared" si="178"/>
        <v>#REF!</v>
      </c>
      <c r="AV156" s="204">
        <f t="shared" si="179"/>
        <v>-56406.918210225558</v>
      </c>
      <c r="AW156" s="304">
        <f t="shared" si="180"/>
        <v>-0.23038777352584219</v>
      </c>
      <c r="AX156" s="305" t="s">
        <v>445</v>
      </c>
      <c r="AY156" s="200">
        <v>173079</v>
      </c>
      <c r="AZ156" s="200">
        <f t="shared" si="181"/>
        <v>647</v>
      </c>
      <c r="BA156" s="200">
        <f t="shared" si="182"/>
        <v>-55759.918210225558</v>
      </c>
      <c r="BB156" s="200">
        <f t="shared" si="183"/>
        <v>189074.76788000003</v>
      </c>
      <c r="BC156" s="304">
        <f t="shared" si="184"/>
        <v>-0.22774517410362805</v>
      </c>
      <c r="BD156" s="306">
        <v>6205.1940000000004</v>
      </c>
      <c r="BE156" s="199">
        <f>BD156/AY156</f>
        <v>3.5851801778378663E-2</v>
      </c>
      <c r="BI156" s="200">
        <v>167274</v>
      </c>
      <c r="BJ156" s="200">
        <f t="shared" si="197"/>
        <v>-5805</v>
      </c>
      <c r="BK156" s="200">
        <f t="shared" si="198"/>
        <v>168196</v>
      </c>
      <c r="BL156" s="307">
        <f>'FY 2016 by Agency'!BB157*Inflator!$E$13</f>
        <v>206159.07283235888</v>
      </c>
      <c r="BM156" s="204">
        <f t="shared" si="199"/>
        <v>-38675.613257866702</v>
      </c>
      <c r="BN156" s="199">
        <f t="shared" si="200"/>
        <v>-0.15796623376972863</v>
      </c>
      <c r="BO156" s="204">
        <f>'FY 2016 by Agency'!AX157*Inflator!$E$13</f>
        <v>183914.62374122674</v>
      </c>
      <c r="BP156" s="204">
        <f t="shared" si="185"/>
        <v>-60920.06234899885</v>
      </c>
      <c r="BQ156" s="304">
        <f t="shared" si="186"/>
        <v>-0.248821207982552</v>
      </c>
      <c r="BR156" s="204">
        <f>'FY 2016 by Agency'!BE157*Inflator!$E$14</f>
        <v>197046.30929678187</v>
      </c>
      <c r="BS156" s="204">
        <f t="shared" si="187"/>
        <v>13131.68555555513</v>
      </c>
      <c r="BT156" s="304">
        <f t="shared" si="188"/>
        <v>7.1400986438314967E-2</v>
      </c>
      <c r="BU156" s="204">
        <f>'FY 2016 by Agency'!BL157*Inflator!$E$14</f>
        <v>197046.30929678187</v>
      </c>
      <c r="BV156" s="204">
        <f t="shared" si="201"/>
        <v>-9112.763535577018</v>
      </c>
      <c r="BW156" s="206">
        <v>170917</v>
      </c>
      <c r="BX156" s="206">
        <f>'FY 2016 by Agency'!BW157*Inflator!E15</f>
        <v>189697.79155672822</v>
      </c>
      <c r="BY156" s="204">
        <f>'FY 2016 by Agency'!BZ157*Inflator!$E$15</f>
        <v>207047.32981530341</v>
      </c>
      <c r="BZ156" s="206">
        <f t="shared" si="189"/>
        <v>-26129.309296781867</v>
      </c>
      <c r="CA156" s="199">
        <f t="shared" si="190"/>
        <v>-0.13260491602218813</v>
      </c>
      <c r="CB156" s="308">
        <f>'FY 2016 by Agency'!CF157*Inflator!$E$16</f>
        <v>217290.13600924052</v>
      </c>
      <c r="CC156" s="206">
        <f t="shared" si="191"/>
        <v>10242.806193937111</v>
      </c>
      <c r="CD156" s="304">
        <f t="shared" si="192"/>
        <v>4.9470844193326265E-2</v>
      </c>
      <c r="CE156" s="206">
        <f>'FY 2016 by Agency'!CK157*Inflator!$E$17</f>
        <v>240382.17492207428</v>
      </c>
      <c r="CF156" s="206">
        <f t="shared" si="202"/>
        <v>23092.038912833756</v>
      </c>
      <c r="CG156" s="562">
        <f t="shared" si="203"/>
        <v>0.10627283565164568</v>
      </c>
      <c r="CH156" s="753">
        <f>'FY 2016 by Agency'!CN157*Inflator!$E$18</f>
        <v>231106</v>
      </c>
      <c r="CI156" s="753">
        <f t="shared" si="204"/>
        <v>-9276.1749220742786</v>
      </c>
      <c r="CJ156" s="304">
        <f t="shared" si="205"/>
        <v>-3.858927944670347E-2</v>
      </c>
    </row>
    <row r="157" spans="1:88" ht="16.5" customHeight="1" x14ac:dyDescent="0.25">
      <c r="A157" s="312" t="s">
        <v>265</v>
      </c>
      <c r="B157" s="302">
        <f>'FY 2016 by Agency'!B158*Inflator!$E$2</f>
        <v>0</v>
      </c>
      <c r="C157" s="302">
        <f>'FY 2016 by Agency'!C158*Inflator!$E$3</f>
        <v>0</v>
      </c>
      <c r="D157" s="310" t="s">
        <v>132</v>
      </c>
      <c r="E157" s="310" t="s">
        <v>132</v>
      </c>
      <c r="F157" s="204">
        <f>'FY 2016 by Agency'!F158*Inflator!$E$4</f>
        <v>0</v>
      </c>
      <c r="G157" s="310" t="s">
        <v>132</v>
      </c>
      <c r="H157" s="310" t="s">
        <v>132</v>
      </c>
      <c r="I157" s="204">
        <f>'FY 2016 by Agency'!I158*Inflator!$E$5</f>
        <v>0</v>
      </c>
      <c r="J157" s="310" t="s">
        <v>132</v>
      </c>
      <c r="K157" s="310" t="s">
        <v>132</v>
      </c>
      <c r="L157" s="204">
        <f>'FY 2016 by Agency'!L158*Inflator!$E$6</f>
        <v>0</v>
      </c>
      <c r="M157" s="310" t="s">
        <v>132</v>
      </c>
      <c r="N157" s="310" t="s">
        <v>132</v>
      </c>
      <c r="O157" s="204">
        <f>'FY 2016 by Agency'!O158*Inflator!$E$7</f>
        <v>0</v>
      </c>
      <c r="P157" s="204">
        <f t="shared" si="193"/>
        <v>0</v>
      </c>
      <c r="Q157" s="394" t="s">
        <v>132</v>
      </c>
      <c r="R157" s="204">
        <f>'FY 2016 by Agency'!R158*Inflator!$E$8</f>
        <v>0</v>
      </c>
      <c r="S157" s="204">
        <f t="shared" si="172"/>
        <v>0</v>
      </c>
      <c r="T157" s="394" t="s">
        <v>132</v>
      </c>
      <c r="U157" s="204">
        <f>'FY 2016 by Agency'!U158*Inflator!$E$9</f>
        <v>0</v>
      </c>
      <c r="V157" s="204">
        <f t="shared" si="194"/>
        <v>0</v>
      </c>
      <c r="W157" s="394" t="s">
        <v>132</v>
      </c>
      <c r="X157" s="204">
        <f>'FY 2016 by Agency'!X158*Inflator!$E$10</f>
        <v>0</v>
      </c>
      <c r="Y157" s="206">
        <f t="shared" si="196"/>
        <v>0</v>
      </c>
      <c r="Z157" s="311" t="s">
        <v>405</v>
      </c>
      <c r="AA157" s="204">
        <f>'FY 2016 by Agency'!AA158*Inflator!$E$11</f>
        <v>0</v>
      </c>
      <c r="AB157" s="206">
        <f t="shared" si="173"/>
        <v>0</v>
      </c>
      <c r="AC157" s="304" t="e">
        <f t="shared" si="174"/>
        <v>#DIV/0!</v>
      </c>
      <c r="AD157" s="204" t="e">
        <f>'FY 2016 by Agency'!AD158*Inflator!#REF!</f>
        <v>#REF!</v>
      </c>
      <c r="AE157" s="204">
        <f>'FY 2016 by Agency'!AE158*Inflator!$B$8</f>
        <v>0</v>
      </c>
      <c r="AF157" s="204">
        <f>'FY 2016 by Agency'!AF158*Inflator!$E$12</f>
        <v>0</v>
      </c>
      <c r="AG157" s="204">
        <f t="shared" si="175"/>
        <v>0</v>
      </c>
      <c r="AH157" s="304" t="e">
        <f t="shared" si="176"/>
        <v>#DIV/0!</v>
      </c>
      <c r="AI157" s="204">
        <f>'FY 2016 by Agency'!AI158*Inflator!$B$8</f>
        <v>0</v>
      </c>
      <c r="AJ157" s="204">
        <f>'FY 2016 by Agency'!AJ158*Inflator!$B$8</f>
        <v>0</v>
      </c>
      <c r="AK157" s="204">
        <f>'FY 2016 by Agency'!AK158</f>
        <v>0</v>
      </c>
      <c r="AL157" s="204">
        <f>'FY 2016 by Agency'!AL158</f>
        <v>0</v>
      </c>
      <c r="AM157" s="204">
        <f>'FY 2016 by Agency'!AM158</f>
        <v>0</v>
      </c>
      <c r="AN157" s="204">
        <f>'FY 2016 by Agency'!AN158</f>
        <v>0</v>
      </c>
      <c r="AO157" s="204">
        <f>'FY 2016 by Agency'!AO158</f>
        <v>0</v>
      </c>
      <c r="AP157" s="204">
        <f>'FY 2016 by Agency'!AP158</f>
        <v>0</v>
      </c>
      <c r="AQ157" s="204">
        <f>'FY 2016 by Agency'!AQ158</f>
        <v>0</v>
      </c>
      <c r="AR157" s="204">
        <f>'FY 2016 by Agency'!AR158</f>
        <v>0</v>
      </c>
      <c r="AS157" s="204">
        <f>'FY 2016 by Agency'!AS158</f>
        <v>0</v>
      </c>
      <c r="AT157" s="204" t="e">
        <f t="shared" si="177"/>
        <v>#REF!</v>
      </c>
      <c r="AU157" s="304" t="e">
        <f t="shared" si="178"/>
        <v>#REF!</v>
      </c>
      <c r="AV157" s="204">
        <f t="shared" si="179"/>
        <v>0</v>
      </c>
      <c r="AW157" s="304" t="e">
        <f t="shared" si="180"/>
        <v>#DIV/0!</v>
      </c>
      <c r="AY157" s="200"/>
      <c r="AZ157" s="200">
        <f t="shared" si="181"/>
        <v>0</v>
      </c>
      <c r="BA157" s="200">
        <f t="shared" si="182"/>
        <v>0</v>
      </c>
      <c r="BB157" s="200">
        <f t="shared" si="183"/>
        <v>0</v>
      </c>
      <c r="BC157" s="304"/>
      <c r="BD157" s="306"/>
      <c r="BE157" s="419"/>
      <c r="BI157" s="200"/>
      <c r="BJ157" s="200">
        <f t="shared" si="197"/>
        <v>0</v>
      </c>
      <c r="BK157" s="200">
        <f t="shared" si="198"/>
        <v>0</v>
      </c>
      <c r="BL157" s="307">
        <f>'FY 2016 by Agency'!BB158*Inflator!$E$13</f>
        <v>0</v>
      </c>
      <c r="BM157" s="204">
        <f t="shared" si="199"/>
        <v>0</v>
      </c>
      <c r="BN157" s="199" t="e">
        <f t="shared" si="200"/>
        <v>#DIV/0!</v>
      </c>
      <c r="BO157" s="204">
        <f>'FY 2016 by Agency'!AX158*Inflator!$E$13</f>
        <v>0</v>
      </c>
      <c r="BP157" s="204">
        <f t="shared" si="185"/>
        <v>0</v>
      </c>
      <c r="BQ157" s="304" t="e">
        <f t="shared" si="186"/>
        <v>#DIV/0!</v>
      </c>
      <c r="BR157" s="204">
        <f>'FY 2016 by Agency'!BE158*Inflator!$E$14</f>
        <v>667.77890345649575</v>
      </c>
      <c r="BS157" s="204">
        <f t="shared" si="187"/>
        <v>667.77890345649575</v>
      </c>
      <c r="BT157" s="304" t="e">
        <f t="shared" si="188"/>
        <v>#DIV/0!</v>
      </c>
      <c r="BU157" s="204">
        <f>'FY 2016 by Agency'!BL158*Inflator!$E$14</f>
        <v>667.77890345649575</v>
      </c>
      <c r="BV157" s="204">
        <f t="shared" si="201"/>
        <v>667.77890345649575</v>
      </c>
      <c r="BW157" s="206">
        <v>700</v>
      </c>
      <c r="BX157" s="206">
        <f>'FY 2016 by Agency'!BW158*Inflator!E15</f>
        <v>739.40193491644675</v>
      </c>
      <c r="BY157" s="204">
        <f>'FY 2016 by Agency'!BZ158*Inflator!$E$15</f>
        <v>903.12664907651708</v>
      </c>
      <c r="BZ157" s="206">
        <f t="shared" si="189"/>
        <v>32.221096543504245</v>
      </c>
      <c r="CA157" s="199">
        <f t="shared" si="190"/>
        <v>4.825114476771334E-2</v>
      </c>
      <c r="CB157" s="308">
        <f>'FY 2016 by Agency'!CF158*Inflator!$E$16</f>
        <v>1171.5212243719318</v>
      </c>
      <c r="CC157" s="206">
        <f t="shared" si="191"/>
        <v>268.39457529541471</v>
      </c>
      <c r="CD157" s="304">
        <f t="shared" si="192"/>
        <v>0.29718376217760689</v>
      </c>
      <c r="CE157" s="206">
        <f>'FY 2016 by Agency'!CK158*Inflator!$E$17</f>
        <v>1196.5758005100597</v>
      </c>
      <c r="CF157" s="206">
        <f t="shared" si="202"/>
        <v>25.054576138127914</v>
      </c>
      <c r="CG157" s="562">
        <f t="shared" si="203"/>
        <v>2.1386361268495163E-2</v>
      </c>
      <c r="CH157" s="753">
        <f>'FY 2016 by Agency'!CN158*Inflator!$E$18</f>
        <v>1391</v>
      </c>
      <c r="CI157" s="753">
        <f t="shared" si="204"/>
        <v>194.42419948994029</v>
      </c>
      <c r="CJ157" s="304">
        <f t="shared" si="205"/>
        <v>0.16248381373504617</v>
      </c>
    </row>
    <row r="158" spans="1:88" ht="18" customHeight="1" x14ac:dyDescent="0.25">
      <c r="A158" s="312" t="s">
        <v>266</v>
      </c>
      <c r="B158" s="302">
        <f>'FY 2016 by Agency'!B159*Inflator!$E$2</f>
        <v>107985.12799043061</v>
      </c>
      <c r="C158" s="302">
        <f>'FY 2016 by Agency'!C159*Inflator!$E$3</f>
        <v>130898.32650695519</v>
      </c>
      <c r="D158" s="302">
        <f t="shared" si="166"/>
        <v>22913.198516524571</v>
      </c>
      <c r="E158" s="303">
        <f t="shared" ref="E158:E165" si="206">(C158-B158)/B158</f>
        <v>0.2121884646796463</v>
      </c>
      <c r="F158" s="204">
        <f>'FY 2016 by Agency'!F159*Inflator!$E$4</f>
        <v>102864.48420251238</v>
      </c>
      <c r="G158" s="204">
        <f t="shared" si="167"/>
        <v>-28033.842304442805</v>
      </c>
      <c r="H158" s="199">
        <f t="shared" ref="H158:H166" si="207">(F158-C158)/C158</f>
        <v>-0.21416501686867057</v>
      </c>
      <c r="I158" s="204">
        <f>'FY 2016 by Agency'!I159*Inflator!$E$5</f>
        <v>100708.47266641875</v>
      </c>
      <c r="J158" s="204">
        <f t="shared" si="168"/>
        <v>-2156.0115360936325</v>
      </c>
      <c r="K158" s="199">
        <f t="shared" si="169"/>
        <v>-2.0959727283996567E-2</v>
      </c>
      <c r="L158" s="204">
        <f>'FY 2016 by Agency'!L159*Inflator!$E$6</f>
        <v>52216.651035986913</v>
      </c>
      <c r="M158" s="204">
        <f t="shared" si="170"/>
        <v>-48491.821630431834</v>
      </c>
      <c r="N158" s="199">
        <f t="shared" si="171"/>
        <v>-0.48150687173117501</v>
      </c>
      <c r="O158" s="204">
        <f>'FY 2016 by Agency'!O159*Inflator!$E$7</f>
        <v>108334.76557550157</v>
      </c>
      <c r="P158" s="204">
        <f t="shared" si="193"/>
        <v>56118.11453951466</v>
      </c>
      <c r="Q158" s="304">
        <f t="shared" ref="Q158:Q168" si="208">P158/L158</f>
        <v>1.0747168465637316</v>
      </c>
      <c r="R158" s="204">
        <f>'FY 2016 by Agency'!R159*Inflator!$E$8</f>
        <v>84205.754582484733</v>
      </c>
      <c r="S158" s="204">
        <f t="shared" si="172"/>
        <v>-24129.01099301684</v>
      </c>
      <c r="T158" s="304">
        <f t="shared" ref="T158:T169" si="209">S158/O158</f>
        <v>-0.22272638764516131</v>
      </c>
      <c r="U158" s="204">
        <f>'FY 2016 by Agency'!U159*Inflator!$E$9</f>
        <v>81799.807360742692</v>
      </c>
      <c r="V158" s="204">
        <f t="shared" si="194"/>
        <v>-2405.9472217420407</v>
      </c>
      <c r="W158" s="304">
        <f t="shared" si="195"/>
        <v>-2.8572242285237963E-2</v>
      </c>
      <c r="X158" s="204">
        <f>'FY 2016 by Agency'!X159*Inflator!$E$10</f>
        <v>77669.879009209282</v>
      </c>
      <c r="Y158" s="206">
        <f t="shared" si="196"/>
        <v>-4129.92835153341</v>
      </c>
      <c r="Z158" s="304">
        <f t="shared" ref="Z158:Z169" si="210">Y158/U158</f>
        <v>-5.0488240556852977E-2</v>
      </c>
      <c r="AA158" s="204">
        <f>'FY 2016 by Agency'!AA159*Inflator!$E$11</f>
        <v>88090.423064670293</v>
      </c>
      <c r="AB158" s="206">
        <f t="shared" si="173"/>
        <v>10420.54405546101</v>
      </c>
      <c r="AC158" s="304">
        <f t="shared" si="174"/>
        <v>0.13416454600406227</v>
      </c>
      <c r="AD158" s="204" t="e">
        <f>'FY 2016 by Agency'!AD159*Inflator!#REF!</f>
        <v>#REF!</v>
      </c>
      <c r="AE158" s="204">
        <f>'FY 2016 by Agency'!AE159*Inflator!$B$8</f>
        <v>0</v>
      </c>
      <c r="AF158" s="204">
        <f>'FY 2016 by Agency'!AF159*Inflator!$E$12</f>
        <v>84182.875939849633</v>
      </c>
      <c r="AG158" s="204">
        <f t="shared" si="175"/>
        <v>-3907.5471248206595</v>
      </c>
      <c r="AH158" s="304">
        <f t="shared" si="176"/>
        <v>-4.4358364835550751E-2</v>
      </c>
      <c r="AI158" s="204">
        <f>'FY 2016 by Agency'!AI159*Inflator!$B$8</f>
        <v>0</v>
      </c>
      <c r="AJ158" s="204">
        <f>'FY 2016 by Agency'!AJ159*Inflator!$B$8</f>
        <v>0</v>
      </c>
      <c r="AK158" s="204">
        <f>'FY 2016 by Agency'!AK159</f>
        <v>80559</v>
      </c>
      <c r="AL158" s="204">
        <f>'FY 2016 by Agency'!AL159</f>
        <v>0</v>
      </c>
      <c r="AM158" s="204">
        <f>'FY 2016 by Agency'!AM159</f>
        <v>80559</v>
      </c>
      <c r="AN158" s="204">
        <f>'FY 2016 by Agency'!AN159</f>
        <v>73448</v>
      </c>
      <c r="AO158" s="204">
        <f>'FY 2016 by Agency'!AO159</f>
        <v>88400</v>
      </c>
      <c r="AP158" s="204">
        <f>'FY 2016 by Agency'!AP159</f>
        <v>0</v>
      </c>
      <c r="AQ158" s="204">
        <f>'FY 2016 by Agency'!AQ159</f>
        <v>0</v>
      </c>
      <c r="AR158" s="204">
        <f>'FY 2016 by Agency'!AR159</f>
        <v>0</v>
      </c>
      <c r="AS158" s="204">
        <f>'FY 2016 by Agency'!AS159</f>
        <v>64138.127980000005</v>
      </c>
      <c r="AT158" s="204" t="e">
        <f t="shared" si="177"/>
        <v>#REF!</v>
      </c>
      <c r="AU158" s="304" t="e">
        <f t="shared" si="178"/>
        <v>#REF!</v>
      </c>
      <c r="AV158" s="204">
        <f t="shared" si="179"/>
        <v>-20044.747959849628</v>
      </c>
      <c r="AW158" s="304">
        <f t="shared" si="180"/>
        <v>-0.23810956487364493</v>
      </c>
      <c r="AX158" s="305" t="s">
        <v>446</v>
      </c>
      <c r="AY158" s="200">
        <v>89100</v>
      </c>
      <c r="AZ158" s="200">
        <f t="shared" si="181"/>
        <v>700</v>
      </c>
      <c r="BA158" s="200">
        <f t="shared" si="182"/>
        <v>-19344.747959849628</v>
      </c>
      <c r="BB158" s="200">
        <f t="shared" si="183"/>
        <v>64838.127980000005</v>
      </c>
      <c r="BC158" s="304">
        <f t="shared" si="184"/>
        <v>-0.22979433458262755</v>
      </c>
      <c r="BD158" s="306">
        <v>4393.7730000000001</v>
      </c>
      <c r="BE158" s="199">
        <f t="shared" ref="BE158:BE164" si="211">BD158/AY158</f>
        <v>4.9312828282828285E-2</v>
      </c>
      <c r="BF158" s="66">
        <v>2210</v>
      </c>
      <c r="BH158" s="66">
        <v>606</v>
      </c>
      <c r="BI158" s="200">
        <v>87102</v>
      </c>
      <c r="BJ158" s="200">
        <f t="shared" si="197"/>
        <v>-1998</v>
      </c>
      <c r="BK158" s="200">
        <f t="shared" si="198"/>
        <v>87102</v>
      </c>
      <c r="BL158" s="307">
        <f>'FY 2016 by Agency'!BB159*Inflator!$E$13</f>
        <v>70518.668023173639</v>
      </c>
      <c r="BM158" s="204">
        <f t="shared" si="199"/>
        <v>-13664.207916675994</v>
      </c>
      <c r="BN158" s="199">
        <f t="shared" si="200"/>
        <v>-0.16231576510214912</v>
      </c>
      <c r="BO158" s="204">
        <f>'FY 2016 by Agency'!AX159*Inflator!$E$13</f>
        <v>95767.014342386319</v>
      </c>
      <c r="BP158" s="204">
        <f t="shared" si="185"/>
        <v>11584.138402536686</v>
      </c>
      <c r="BQ158" s="304">
        <f t="shared" si="186"/>
        <v>0.1376068264858733</v>
      </c>
      <c r="BR158" s="204">
        <f>'FY 2016 by Agency'!BE159*Inflator!$E$14</f>
        <v>81735.278903456492</v>
      </c>
      <c r="BS158" s="204">
        <f t="shared" si="187"/>
        <v>-14031.735438929827</v>
      </c>
      <c r="BT158" s="304">
        <f t="shared" si="188"/>
        <v>-0.14651950397830671</v>
      </c>
      <c r="BU158" s="204">
        <f>'FY 2016 by Agency'!BL159*Inflator!$E$14</f>
        <v>81735.278903456492</v>
      </c>
      <c r="BV158" s="204">
        <f t="shared" si="201"/>
        <v>11216.610880282853</v>
      </c>
      <c r="BW158" s="206">
        <v>99377</v>
      </c>
      <c r="BX158" s="206">
        <f>'FY 2016 by Agency'!BW159*Inflator!E15</f>
        <v>123794.89709762532</v>
      </c>
      <c r="BY158" s="204">
        <f>'FY 2016 by Agency'!BZ159*Inflator!$E$15</f>
        <v>80727.903254177654</v>
      </c>
      <c r="BZ158" s="206">
        <f t="shared" si="189"/>
        <v>17641.721096543508</v>
      </c>
      <c r="CA158" s="199">
        <f t="shared" si="190"/>
        <v>0.21583973693148381</v>
      </c>
      <c r="CB158" s="308">
        <f>'FY 2016 by Agency'!CF159*Inflator!$E$16</f>
        <v>81583.031764366155</v>
      </c>
      <c r="CC158" s="206">
        <f t="shared" si="191"/>
        <v>855.12851018850051</v>
      </c>
      <c r="CD158" s="304">
        <f t="shared" si="192"/>
        <v>1.0592725386364445E-2</v>
      </c>
      <c r="CE158" s="206">
        <f>'FY 2016 by Agency'!CK159*Inflator!$E$17</f>
        <v>93924.05355624824</v>
      </c>
      <c r="CF158" s="206">
        <f t="shared" si="202"/>
        <v>12341.021791882085</v>
      </c>
      <c r="CG158" s="562">
        <f t="shared" si="203"/>
        <v>0.15126946774332059</v>
      </c>
      <c r="CH158" s="753">
        <f>'FY 2016 by Agency'!CN159*Inflator!$E$18</f>
        <v>88477</v>
      </c>
      <c r="CI158" s="753">
        <f t="shared" si="204"/>
        <v>-5447.0535562482401</v>
      </c>
      <c r="CJ158" s="304">
        <f t="shared" si="205"/>
        <v>-5.799423417118775E-2</v>
      </c>
    </row>
    <row r="159" spans="1:88" ht="18" customHeight="1" x14ac:dyDescent="0.25">
      <c r="A159" s="313" t="s">
        <v>267</v>
      </c>
      <c r="B159" s="302">
        <f>'FY 2016 by Agency'!B160*Inflator!$E$2</f>
        <v>38403.267942583734</v>
      </c>
      <c r="C159" s="302">
        <f>'FY 2016 by Agency'!C160*Inflator!$E$3</f>
        <v>37930.345826893354</v>
      </c>
      <c r="D159" s="302">
        <f t="shared" si="166"/>
        <v>-472.92211569038045</v>
      </c>
      <c r="E159" s="303">
        <f t="shared" si="206"/>
        <v>-1.2314632088015027E-2</v>
      </c>
      <c r="F159" s="204">
        <f>'FY 2016 by Agency'!F160*Inflator!$E$4</f>
        <v>41712.234107346783</v>
      </c>
      <c r="G159" s="204">
        <f t="shared" si="167"/>
        <v>3781.8882804534296</v>
      </c>
      <c r="H159" s="199">
        <f t="shared" si="207"/>
        <v>9.9706137605842682E-2</v>
      </c>
      <c r="I159" s="204">
        <f>'FY 2016 by Agency'!I160*Inflator!$E$5</f>
        <v>43016.255857195989</v>
      </c>
      <c r="J159" s="204">
        <f t="shared" si="168"/>
        <v>1304.0217498492057</v>
      </c>
      <c r="K159" s="199">
        <f t="shared" si="169"/>
        <v>3.1262332928351302E-2</v>
      </c>
      <c r="L159" s="204">
        <f>'FY 2016 by Agency'!L160*Inflator!$E$6</f>
        <v>42615.19956379498</v>
      </c>
      <c r="M159" s="204">
        <f t="shared" si="170"/>
        <v>-401.05629340100859</v>
      </c>
      <c r="N159" s="199">
        <f t="shared" si="171"/>
        <v>-9.3233659092140098E-3</v>
      </c>
      <c r="O159" s="204">
        <f>'FY 2016 by Agency'!O160*Inflator!$E$7</f>
        <v>44833.951425554376</v>
      </c>
      <c r="P159" s="204">
        <f t="shared" si="193"/>
        <v>2218.751861759396</v>
      </c>
      <c r="Q159" s="304">
        <f t="shared" si="208"/>
        <v>5.2064800457825453E-2</v>
      </c>
      <c r="R159" s="204">
        <f>'FY 2016 by Agency'!R160*Inflator!$E$8</f>
        <v>53437.161914460288</v>
      </c>
      <c r="S159" s="204">
        <f t="shared" si="172"/>
        <v>8603.2104889059119</v>
      </c>
      <c r="T159" s="304">
        <f t="shared" si="209"/>
        <v>0.19189052526836323</v>
      </c>
      <c r="U159" s="204">
        <f>'FY 2016 by Agency'!U160*Inflator!$E$9</f>
        <v>57117.584880636598</v>
      </c>
      <c r="V159" s="204">
        <f t="shared" si="194"/>
        <v>3680.4229661763093</v>
      </c>
      <c r="W159" s="304">
        <f t="shared" si="195"/>
        <v>6.8873847979946209E-2</v>
      </c>
      <c r="X159" s="204">
        <f>'FY 2016 by Agency'!X160*Inflator!$E$10</f>
        <v>60668.616068593212</v>
      </c>
      <c r="Y159" s="206">
        <f t="shared" si="196"/>
        <v>3551.0311879566143</v>
      </c>
      <c r="Z159" s="304">
        <f t="shared" si="210"/>
        <v>6.2170541618268731E-2</v>
      </c>
      <c r="AA159" s="204">
        <f>'FY 2016 by Agency'!AA160*Inflator!$E$11</f>
        <v>54305.554635234155</v>
      </c>
      <c r="AB159" s="206">
        <f t="shared" si="173"/>
        <v>-6363.0614333590565</v>
      </c>
      <c r="AC159" s="304">
        <f t="shared" si="174"/>
        <v>-0.10488225784093781</v>
      </c>
      <c r="AD159" s="204" t="e">
        <f>'FY 2016 by Agency'!AD160*Inflator!#REF!</f>
        <v>#REF!</v>
      </c>
      <c r="AE159" s="204">
        <f>'FY 2016 by Agency'!AE160*Inflator!$B$8</f>
        <v>0</v>
      </c>
      <c r="AF159" s="204">
        <f>'FY 2016 by Agency'!AF160*Inflator!$E$12</f>
        <v>54756.118421052641</v>
      </c>
      <c r="AG159" s="204">
        <f t="shared" si="175"/>
        <v>450.56378581848548</v>
      </c>
      <c r="AH159" s="304">
        <f t="shared" si="176"/>
        <v>8.2968268871367688E-3</v>
      </c>
      <c r="AI159" s="204">
        <f>'FY 2016 by Agency'!AI160*Inflator!$B$8</f>
        <v>0</v>
      </c>
      <c r="AJ159" s="204">
        <f>'FY 2016 by Agency'!AJ160*Inflator!$B$8</f>
        <v>0</v>
      </c>
      <c r="AK159" s="204">
        <f>'FY 2016 by Agency'!AK160</f>
        <v>46325</v>
      </c>
      <c r="AL159" s="204">
        <f>'FY 2016 by Agency'!AL160</f>
        <v>350</v>
      </c>
      <c r="AM159" s="204">
        <f>'FY 2016 by Agency'!AM160</f>
        <v>46675</v>
      </c>
      <c r="AN159" s="204">
        <f>'FY 2016 by Agency'!AN160</f>
        <v>38666</v>
      </c>
      <c r="AO159" s="204">
        <f>'FY 2016 by Agency'!AO160</f>
        <v>40065</v>
      </c>
      <c r="AP159" s="204">
        <f>'FY 2016 by Agency'!AP160</f>
        <v>4663</v>
      </c>
      <c r="AQ159" s="204">
        <f>'FY 2016 by Agency'!AQ160</f>
        <v>603</v>
      </c>
      <c r="AR159" s="204">
        <f>'FY 2016 by Agency'!AR160</f>
        <v>5266</v>
      </c>
      <c r="AS159" s="204">
        <f>'FY 2016 by Agency'!AS160</f>
        <v>43667.288260000001</v>
      </c>
      <c r="AT159" s="204" t="e">
        <f t="shared" si="177"/>
        <v>#REF!</v>
      </c>
      <c r="AU159" s="304" t="e">
        <f t="shared" si="178"/>
        <v>#REF!</v>
      </c>
      <c r="AV159" s="204">
        <f t="shared" si="179"/>
        <v>-11088.83016105264</v>
      </c>
      <c r="AW159" s="304">
        <f t="shared" si="180"/>
        <v>-0.20251307946600547</v>
      </c>
      <c r="AX159" s="410" t="s">
        <v>447</v>
      </c>
      <c r="AY159" s="200">
        <v>41182</v>
      </c>
      <c r="AZ159" s="200">
        <f t="shared" si="181"/>
        <v>1117</v>
      </c>
      <c r="BA159" s="200">
        <f t="shared" si="182"/>
        <v>-9971.8301610526396</v>
      </c>
      <c r="BB159" s="200">
        <f t="shared" si="183"/>
        <v>44784.288260000001</v>
      </c>
      <c r="BC159" s="304">
        <f t="shared" si="184"/>
        <v>-0.18211353267178754</v>
      </c>
      <c r="BD159" s="306">
        <v>602.85299999999995</v>
      </c>
      <c r="BE159" s="199">
        <f t="shared" si="211"/>
        <v>1.4638749939293864E-2</v>
      </c>
      <c r="BI159" s="200">
        <v>38972</v>
      </c>
      <c r="BJ159" s="200">
        <f t="shared" si="197"/>
        <v>-2210</v>
      </c>
      <c r="BK159" s="200">
        <f t="shared" si="198"/>
        <v>44238</v>
      </c>
      <c r="BL159" s="307">
        <f>'FY 2016 by Agency'!BB160*Inflator!$E$13</f>
        <v>42221.495758553552</v>
      </c>
      <c r="BM159" s="204">
        <f t="shared" si="199"/>
        <v>-12534.622662499089</v>
      </c>
      <c r="BN159" s="199">
        <f t="shared" si="200"/>
        <v>-0.22891729771845507</v>
      </c>
      <c r="BO159" s="204">
        <f>'FY 2016 by Agency'!AX160*Inflator!$E$13</f>
        <v>43572.441257247483</v>
      </c>
      <c r="BP159" s="204">
        <f t="shared" si="185"/>
        <v>-11183.677163805158</v>
      </c>
      <c r="BQ159" s="304">
        <f t="shared" si="186"/>
        <v>-0.20424525123945339</v>
      </c>
      <c r="BR159" s="204">
        <f>'FY 2016 by Agency'!BE160*Inflator!$E$14</f>
        <v>44659.592967818826</v>
      </c>
      <c r="BS159" s="204">
        <f t="shared" si="187"/>
        <v>1087.1517105713428</v>
      </c>
      <c r="BT159" s="304">
        <f t="shared" si="188"/>
        <v>2.4950442968134472E-2</v>
      </c>
      <c r="BU159" s="204">
        <f>'FY 2016 by Agency'!BL160*Inflator!$E$14</f>
        <v>59405.482419547072</v>
      </c>
      <c r="BV159" s="204">
        <f t="shared" si="201"/>
        <v>17183.98666099352</v>
      </c>
      <c r="BW159" s="309">
        <f>35866+9794</f>
        <v>45660</v>
      </c>
      <c r="BX159" s="206">
        <f>'FY 2016 by Agency'!BW160*Inflator!E15</f>
        <v>53531.643799472287</v>
      </c>
      <c r="BY159" s="204">
        <f>'FY 2016 by Agency'!BZ160*Inflator!$E$15</f>
        <v>36807.428320140716</v>
      </c>
      <c r="BZ159" s="206">
        <f t="shared" si="189"/>
        <v>1000.4070321811741</v>
      </c>
      <c r="CA159" s="199">
        <f t="shared" si="190"/>
        <v>2.2400719883453834E-2</v>
      </c>
      <c r="CB159" s="308">
        <f>'FY 2016 by Agency'!CF160*Inflator!$E$16</f>
        <v>38462.519203003176</v>
      </c>
      <c r="CC159" s="206">
        <f t="shared" si="191"/>
        <v>1655.0908828624597</v>
      </c>
      <c r="CD159" s="304">
        <f t="shared" si="192"/>
        <v>4.4966219005222047E-2</v>
      </c>
      <c r="CE159" s="206">
        <f>'FY 2016 by Agency'!CK160*Inflator!$E$17</f>
        <v>63455.272315103437</v>
      </c>
      <c r="CF159" s="206">
        <f t="shared" si="202"/>
        <v>24992.753112100261</v>
      </c>
      <c r="CG159" s="562">
        <f t="shared" si="203"/>
        <v>0.64979501161090902</v>
      </c>
      <c r="CH159" s="753">
        <f>'FY 2016 by Agency'!CN160*Inflator!$E$18</f>
        <v>59377</v>
      </c>
      <c r="CI159" s="753">
        <f t="shared" si="204"/>
        <v>-4078.272315103437</v>
      </c>
      <c r="CJ159" s="304">
        <f t="shared" si="205"/>
        <v>-6.4270030941664377E-2</v>
      </c>
    </row>
    <row r="160" spans="1:88" ht="18" customHeight="1" x14ac:dyDescent="0.25">
      <c r="A160" s="313" t="s">
        <v>268</v>
      </c>
      <c r="B160" s="302">
        <f>'FY 2016 by Agency'!B161*Inflator!$E$2</f>
        <v>18924.369617224878</v>
      </c>
      <c r="C160" s="302">
        <f>'FY 2016 by Agency'!C161*Inflator!$E$3</f>
        <v>20145.05795981453</v>
      </c>
      <c r="D160" s="302">
        <f t="shared" si="166"/>
        <v>1220.6883425896522</v>
      </c>
      <c r="E160" s="303">
        <f t="shared" si="206"/>
        <v>6.4503514107998983E-2</v>
      </c>
      <c r="F160" s="204">
        <f>'FY 2016 by Agency'!F161*Inflator!$E$4</f>
        <v>19401.613247049867</v>
      </c>
      <c r="G160" s="204">
        <f t="shared" si="167"/>
        <v>-743.44471276466356</v>
      </c>
      <c r="H160" s="199">
        <f t="shared" si="207"/>
        <v>-3.6904570552623431E-2</v>
      </c>
      <c r="I160" s="204">
        <f>'FY 2016 by Agency'!I161*Inflator!$E$5</f>
        <v>18812.242469319452</v>
      </c>
      <c r="J160" s="204">
        <f t="shared" si="168"/>
        <v>-589.37077773041528</v>
      </c>
      <c r="K160" s="199">
        <f t="shared" si="169"/>
        <v>-3.0377410900097841E-2</v>
      </c>
      <c r="L160" s="204">
        <f>'FY 2016 by Agency'!L161*Inflator!$E$6</f>
        <v>19185.87677208288</v>
      </c>
      <c r="M160" s="204">
        <f t="shared" si="170"/>
        <v>373.63430276342842</v>
      </c>
      <c r="N160" s="199">
        <f t="shared" si="171"/>
        <v>1.9861231502452826E-2</v>
      </c>
      <c r="O160" s="204">
        <f>'FY 2016 by Agency'!O161*Inflator!$E$7</f>
        <v>17742.333685322068</v>
      </c>
      <c r="P160" s="204">
        <f t="shared" si="193"/>
        <v>-1443.543086760812</v>
      </c>
      <c r="Q160" s="304">
        <f t="shared" si="208"/>
        <v>-7.5239881080717289E-2</v>
      </c>
      <c r="R160" s="204">
        <f>'FY 2016 by Agency'!R161*Inflator!$E$8</f>
        <v>17955.072301425662</v>
      </c>
      <c r="S160" s="204">
        <f t="shared" si="172"/>
        <v>212.73861610359381</v>
      </c>
      <c r="T160" s="304">
        <f t="shared" si="209"/>
        <v>1.1990452883860981E-2</v>
      </c>
      <c r="U160" s="204">
        <f>'FY 2016 by Agency'!U161*Inflator!$E$9</f>
        <v>19663.587533156497</v>
      </c>
      <c r="V160" s="204">
        <f t="shared" si="194"/>
        <v>1708.5152317308348</v>
      </c>
      <c r="W160" s="304">
        <f t="shared" si="195"/>
        <v>9.5155018205923675E-2</v>
      </c>
      <c r="X160" s="204">
        <f>'FY 2016 by Agency'!X161*Inflator!$E$10</f>
        <v>19677.483010479518</v>
      </c>
      <c r="Y160" s="206">
        <f t="shared" si="196"/>
        <v>13.895477323021623</v>
      </c>
      <c r="Z160" s="304">
        <f t="shared" si="210"/>
        <v>7.066603334509149E-4</v>
      </c>
      <c r="AA160" s="204">
        <f>'FY 2016 by Agency'!AA161*Inflator!$E$11</f>
        <v>20115.506530742277</v>
      </c>
      <c r="AB160" s="206">
        <f t="shared" si="173"/>
        <v>438.02352026275912</v>
      </c>
      <c r="AC160" s="304">
        <f t="shared" si="174"/>
        <v>2.2260139674849858E-2</v>
      </c>
      <c r="AD160" s="204" t="e">
        <f>'FY 2016 by Agency'!AD161*Inflator!#REF!</f>
        <v>#REF!</v>
      </c>
      <c r="AE160" s="204">
        <f>'FY 2016 by Agency'!AE161*Inflator!$B$8</f>
        <v>0</v>
      </c>
      <c r="AF160" s="204">
        <f>'FY 2016 by Agency'!AF161*Inflator!$E$12</f>
        <v>18780.298872180454</v>
      </c>
      <c r="AG160" s="204">
        <f t="shared" si="175"/>
        <v>-1335.2076585618233</v>
      </c>
      <c r="AH160" s="304">
        <f t="shared" si="176"/>
        <v>-6.6377033882852626E-2</v>
      </c>
      <c r="AI160" s="204">
        <f>'FY 2016 by Agency'!AI161*Inflator!$B$8</f>
        <v>0</v>
      </c>
      <c r="AJ160" s="204">
        <f>'FY 2016 by Agency'!AJ161*Inflator!$B$8</f>
        <v>0</v>
      </c>
      <c r="AK160" s="204">
        <f>'FY 2016 by Agency'!AK161</f>
        <v>16184</v>
      </c>
      <c r="AL160" s="204">
        <f>'FY 2016 by Agency'!AL161</f>
        <v>155</v>
      </c>
      <c r="AM160" s="204">
        <f>'FY 2016 by Agency'!AM161</f>
        <v>16339</v>
      </c>
      <c r="AN160" s="204">
        <f>'FY 2016 by Agency'!AN161</f>
        <v>15758</v>
      </c>
      <c r="AO160" s="204">
        <f>'FY 2016 by Agency'!AO161</f>
        <v>15758</v>
      </c>
      <c r="AP160" s="204">
        <f>'FY 2016 by Agency'!AP161</f>
        <v>349</v>
      </c>
      <c r="AQ160" s="204">
        <f>'FY 2016 by Agency'!AQ161</f>
        <v>38</v>
      </c>
      <c r="AR160" s="204">
        <f>'FY 2016 by Agency'!AR161</f>
        <v>387</v>
      </c>
      <c r="AS160" s="204">
        <f>'FY 2016 by Agency'!AS161</f>
        <v>17010.1865</v>
      </c>
      <c r="AT160" s="204" t="e">
        <f t="shared" si="177"/>
        <v>#REF!</v>
      </c>
      <c r="AU160" s="304" t="e">
        <f t="shared" si="178"/>
        <v>#REF!</v>
      </c>
      <c r="AV160" s="204">
        <f t="shared" si="179"/>
        <v>-1770.1123721804543</v>
      </c>
      <c r="AW160" s="304">
        <f t="shared" si="180"/>
        <v>-9.4253684897557671E-2</v>
      </c>
      <c r="AX160" s="410" t="s">
        <v>448</v>
      </c>
      <c r="AY160" s="200">
        <v>15944</v>
      </c>
      <c r="AZ160" s="200">
        <f t="shared" si="181"/>
        <v>186</v>
      </c>
      <c r="BA160" s="200">
        <f t="shared" si="182"/>
        <v>-1584.1123721804543</v>
      </c>
      <c r="BB160" s="200">
        <f t="shared" si="183"/>
        <v>17196.1865</v>
      </c>
      <c r="BC160" s="304">
        <f t="shared" si="184"/>
        <v>-8.4349689158942254E-2</v>
      </c>
      <c r="BD160" s="306">
        <v>1407.7170000000001</v>
      </c>
      <c r="BE160" s="199">
        <f t="shared" si="211"/>
        <v>8.8291332162569E-2</v>
      </c>
      <c r="BI160" s="200">
        <v>16165</v>
      </c>
      <c r="BJ160" s="200">
        <f t="shared" si="197"/>
        <v>221</v>
      </c>
      <c r="BK160" s="200">
        <f t="shared" si="198"/>
        <v>16552</v>
      </c>
      <c r="BL160" s="307">
        <f>'FY 2016 by Agency'!BB161*Inflator!$E$13</f>
        <v>18276.881586664633</v>
      </c>
      <c r="BM160" s="204">
        <f t="shared" si="199"/>
        <v>-503.41728551582128</v>
      </c>
      <c r="BN160" s="199">
        <f t="shared" si="200"/>
        <v>-2.6805605647817515E-2</v>
      </c>
      <c r="BO160" s="204">
        <f>'FY 2016 by Agency'!AX161*Inflator!$E$13</f>
        <v>17773.11412877632</v>
      </c>
      <c r="BP160" s="204">
        <f t="shared" si="185"/>
        <v>-1007.1847434041338</v>
      </c>
      <c r="BQ160" s="304">
        <f t="shared" si="186"/>
        <v>-5.362985702512392E-2</v>
      </c>
      <c r="BR160" s="204">
        <f>'FY 2016 by Agency'!BE161*Inflator!$E$14</f>
        <v>17949.510429082238</v>
      </c>
      <c r="BS160" s="204">
        <f t="shared" si="187"/>
        <v>176.39630030591798</v>
      </c>
      <c r="BT160" s="304">
        <f t="shared" si="188"/>
        <v>9.9248954925865249E-3</v>
      </c>
      <c r="BU160" s="204">
        <f>'FY 2016 by Agency'!BL161*Inflator!$E$14</f>
        <v>18374.655840286054</v>
      </c>
      <c r="BV160" s="204">
        <f t="shared" si="201"/>
        <v>97.774253621420939</v>
      </c>
      <c r="BW160" s="309">
        <v>16153</v>
      </c>
      <c r="BX160" s="206">
        <f>'FY 2016 by Agency'!BW161*Inflator!E15</f>
        <v>19236.069481090588</v>
      </c>
      <c r="BY160" s="204">
        <f>'FY 2016 by Agency'!BZ161*Inflator!$E$15</f>
        <v>19976.527704485485</v>
      </c>
      <c r="BZ160" s="206">
        <f t="shared" si="189"/>
        <v>-1796.5104290822383</v>
      </c>
      <c r="CA160" s="199">
        <f t="shared" si="190"/>
        <v>-0.10008687625103624</v>
      </c>
      <c r="CB160" s="308">
        <f>'FY 2016 by Agency'!CF161*Inflator!$E$16</f>
        <v>29011.276927519488</v>
      </c>
      <c r="CC160" s="206">
        <f t="shared" si="191"/>
        <v>9034.7492230340031</v>
      </c>
      <c r="CD160" s="304">
        <f t="shared" si="192"/>
        <v>0.45226824985231845</v>
      </c>
      <c r="CE160" s="206">
        <f>'FY 2016 by Agency'!CK161*Inflator!$E$17</f>
        <v>33461.241711533017</v>
      </c>
      <c r="CF160" s="206">
        <f t="shared" si="202"/>
        <v>4449.9647840135294</v>
      </c>
      <c r="CG160" s="562">
        <f t="shared" si="203"/>
        <v>0.15338741535338579</v>
      </c>
      <c r="CH160" s="753">
        <f>'FY 2016 by Agency'!CN161*Inflator!$E$18</f>
        <v>31069</v>
      </c>
      <c r="CI160" s="753">
        <f t="shared" si="204"/>
        <v>-2392.2417115330172</v>
      </c>
      <c r="CJ160" s="304">
        <f t="shared" si="205"/>
        <v>-7.1492915061442217E-2</v>
      </c>
    </row>
    <row r="161" spans="1:88" ht="18" customHeight="1" x14ac:dyDescent="0.25">
      <c r="A161" s="313" t="s">
        <v>269</v>
      </c>
      <c r="B161" s="302">
        <f>'FY 2016 by Agency'!B162*Inflator!$E$2</f>
        <v>5937.4796650717699</v>
      </c>
      <c r="C161" s="302">
        <f>'FY 2016 by Agency'!C162*Inflator!$E$3</f>
        <v>5343.2434312210207</v>
      </c>
      <c r="D161" s="302">
        <f t="shared" si="166"/>
        <v>-594.23623385074916</v>
      </c>
      <c r="E161" s="303">
        <f t="shared" si="206"/>
        <v>-0.1000822347816102</v>
      </c>
      <c r="F161" s="204">
        <f>'FY 2016 by Agency'!F162*Inflator!$E$4</f>
        <v>12593.355919299582</v>
      </c>
      <c r="G161" s="204">
        <f t="shared" si="167"/>
        <v>7250.112488078561</v>
      </c>
      <c r="H161" s="199">
        <f t="shared" si="207"/>
        <v>1.3568748235791661</v>
      </c>
      <c r="I161" s="204">
        <f>'FY 2016 by Agency'!I162*Inflator!$E$5</f>
        <v>12014.912978802529</v>
      </c>
      <c r="J161" s="204">
        <f t="shared" si="168"/>
        <v>-578.4429404970524</v>
      </c>
      <c r="K161" s="199">
        <f t="shared" si="169"/>
        <v>-4.5932390397271032E-2</v>
      </c>
      <c r="L161" s="204">
        <f>'FY 2016 by Agency'!L162*Inflator!$E$6</f>
        <v>7200.761177753544</v>
      </c>
      <c r="M161" s="204">
        <f t="shared" si="170"/>
        <v>-4814.1518010489854</v>
      </c>
      <c r="N161" s="199">
        <f t="shared" si="171"/>
        <v>-0.400681370688445</v>
      </c>
      <c r="O161" s="204">
        <f>'FY 2016 by Agency'!O162*Inflator!$E$7</f>
        <v>6592.1837381203795</v>
      </c>
      <c r="P161" s="204">
        <f t="shared" si="193"/>
        <v>-608.57743963316443</v>
      </c>
      <c r="Q161" s="304">
        <f t="shared" si="208"/>
        <v>-8.4515709466013042E-2</v>
      </c>
      <c r="R161" s="204">
        <f>'FY 2016 by Agency'!R162*Inflator!$E$8</f>
        <v>6183.5600814663958</v>
      </c>
      <c r="S161" s="204">
        <f t="shared" si="172"/>
        <v>-408.62365665398374</v>
      </c>
      <c r="T161" s="304">
        <f t="shared" si="209"/>
        <v>-6.1986084260827058E-2</v>
      </c>
      <c r="U161" s="204">
        <f>'FY 2016 by Agency'!U162*Inflator!$E$9</f>
        <v>6271.8003978779834</v>
      </c>
      <c r="V161" s="204">
        <f t="shared" si="194"/>
        <v>88.240316411587628</v>
      </c>
      <c r="W161" s="304">
        <f t="shared" si="195"/>
        <v>1.4270147819225514E-2</v>
      </c>
      <c r="X161" s="204">
        <f>'FY 2016 by Agency'!X162*Inflator!$E$10</f>
        <v>7390.2118132740561</v>
      </c>
      <c r="Y161" s="206">
        <f t="shared" si="196"/>
        <v>1118.4114153960727</v>
      </c>
      <c r="Z161" s="304">
        <f t="shared" si="210"/>
        <v>0.17832382162137667</v>
      </c>
      <c r="AA161" s="204">
        <f>'FY 2016 by Agency'!AA162*Inflator!$E$11</f>
        <v>6312.9977699904439</v>
      </c>
      <c r="AB161" s="206">
        <f t="shared" si="173"/>
        <v>-1077.2140432836122</v>
      </c>
      <c r="AC161" s="304">
        <f t="shared" si="174"/>
        <v>-0.14576226913398554</v>
      </c>
      <c r="AD161" s="204" t="e">
        <f>'FY 2016 by Agency'!AD162*Inflator!#REF!</f>
        <v>#REF!</v>
      </c>
      <c r="AE161" s="204">
        <f>'FY 2016 by Agency'!AE162*Inflator!$B$8</f>
        <v>0</v>
      </c>
      <c r="AF161" s="204">
        <f>'FY 2016 by Agency'!AF162*Inflator!$E$12</f>
        <v>19449.653195488725</v>
      </c>
      <c r="AG161" s="204">
        <f t="shared" si="175"/>
        <v>13136.65542549828</v>
      </c>
      <c r="AH161" s="304">
        <f t="shared" si="176"/>
        <v>2.0808902369560265</v>
      </c>
      <c r="AI161" s="204">
        <f>'FY 2016 by Agency'!AI162*Inflator!$B$8</f>
        <v>0</v>
      </c>
      <c r="AJ161" s="204">
        <f>'FY 2016 by Agency'!AJ162*Inflator!$B$8</f>
        <v>0</v>
      </c>
      <c r="AK161" s="204">
        <f>'FY 2016 by Agency'!AK162</f>
        <v>11136</v>
      </c>
      <c r="AL161" s="204">
        <f>'FY 2016 by Agency'!AL162</f>
        <v>0</v>
      </c>
      <c r="AM161" s="204">
        <f>'FY 2016 by Agency'!AM162</f>
        <v>11136</v>
      </c>
      <c r="AN161" s="204">
        <f>'FY 2016 by Agency'!AN162</f>
        <v>18512</v>
      </c>
      <c r="AO161" s="204">
        <f>'FY 2016 by Agency'!AO162</f>
        <v>18512</v>
      </c>
      <c r="AP161" s="204">
        <f>'FY 2016 by Agency'!AP162</f>
        <v>0</v>
      </c>
      <c r="AQ161" s="204">
        <f>'FY 2016 by Agency'!AQ162</f>
        <v>0</v>
      </c>
      <c r="AR161" s="204">
        <f>'FY 2016 by Agency'!AR162</f>
        <v>0</v>
      </c>
      <c r="AS161" s="204">
        <f>'FY 2016 by Agency'!AS162</f>
        <v>16325.28104</v>
      </c>
      <c r="AT161" s="204" t="e">
        <f t="shared" si="177"/>
        <v>#REF!</v>
      </c>
      <c r="AU161" s="304" t="e">
        <f t="shared" si="178"/>
        <v>#REF!</v>
      </c>
      <c r="AV161" s="204">
        <f t="shared" si="179"/>
        <v>-3124.3721554887252</v>
      </c>
      <c r="AW161" s="304">
        <f t="shared" si="180"/>
        <v>-0.16063896482295179</v>
      </c>
      <c r="AX161" s="410" t="s">
        <v>449</v>
      </c>
      <c r="AY161" s="200">
        <v>18512</v>
      </c>
      <c r="AZ161" s="200">
        <f t="shared" si="181"/>
        <v>0</v>
      </c>
      <c r="BA161" s="200">
        <f t="shared" si="182"/>
        <v>-3124.3721554887252</v>
      </c>
      <c r="BB161" s="200">
        <f t="shared" si="183"/>
        <v>16325.28104</v>
      </c>
      <c r="BC161" s="304">
        <f t="shared" si="184"/>
        <v>-0.16063896482295181</v>
      </c>
      <c r="BD161" s="306">
        <v>0</v>
      </c>
      <c r="BE161" s="199">
        <f t="shared" si="211"/>
        <v>0</v>
      </c>
      <c r="BI161" s="200">
        <v>18512</v>
      </c>
      <c r="BJ161" s="200">
        <f t="shared" si="197"/>
        <v>0</v>
      </c>
      <c r="BK161" s="200">
        <f t="shared" si="198"/>
        <v>18512</v>
      </c>
      <c r="BL161" s="307">
        <f>'FY 2016 by Agency'!BB162*Inflator!$E$13</f>
        <v>17949.340124235579</v>
      </c>
      <c r="BM161" s="204">
        <f t="shared" si="199"/>
        <v>-1500.3130712531456</v>
      </c>
      <c r="BN161" s="199">
        <f t="shared" si="200"/>
        <v>-7.7138294249952888E-2</v>
      </c>
      <c r="BO161" s="204">
        <f>'FY 2016 by Agency'!AX162*Inflator!$E$13</f>
        <v>20353.596582239854</v>
      </c>
      <c r="BP161" s="204">
        <f t="shared" si="185"/>
        <v>903.94338675112886</v>
      </c>
      <c r="BQ161" s="304">
        <f t="shared" si="186"/>
        <v>4.6476067087962022E-2</v>
      </c>
      <c r="BR161" s="204">
        <f>'FY 2016 by Agency'!BE162*Inflator!$E$14</f>
        <v>13101.134982121572</v>
      </c>
      <c r="BS161" s="204">
        <f t="shared" si="187"/>
        <v>-7252.4616001182821</v>
      </c>
      <c r="BT161" s="304">
        <f t="shared" si="188"/>
        <v>-0.35632334417233347</v>
      </c>
      <c r="BU161" s="204">
        <f>'FY 2016 by Agency'!BL162*Inflator!$E$14</f>
        <v>13101.134982121572</v>
      </c>
      <c r="BV161" s="204">
        <f t="shared" si="201"/>
        <v>-4848.2051421140077</v>
      </c>
      <c r="BW161" s="206">
        <v>6512</v>
      </c>
      <c r="BX161" s="206">
        <f>'FY 2016 by Agency'!BW162*Inflator!E15</f>
        <v>6878.5505716798589</v>
      </c>
      <c r="BY161" s="204">
        <f>'FY 2016 by Agency'!BZ162*Inflator!$E$15</f>
        <v>8099.6200527704477</v>
      </c>
      <c r="BZ161" s="206">
        <f t="shared" si="189"/>
        <v>-6589.1349821215717</v>
      </c>
      <c r="CA161" s="199">
        <f t="shared" si="190"/>
        <v>-0.50294382823422679</v>
      </c>
      <c r="CB161" s="308">
        <f>'FY 2016 by Agency'!CF162*Inflator!$E$16</f>
        <v>6887.6292232168635</v>
      </c>
      <c r="CC161" s="206">
        <f t="shared" si="191"/>
        <v>-1211.9908295535843</v>
      </c>
      <c r="CD161" s="304">
        <f t="shared" si="192"/>
        <v>-0.14963551643870343</v>
      </c>
      <c r="CE161" s="206">
        <f>'FY 2016 by Agency'!CK162*Inflator!$E$17</f>
        <v>7031.4142816661952</v>
      </c>
      <c r="CF161" s="206">
        <f t="shared" si="202"/>
        <v>143.7850584493317</v>
      </c>
      <c r="CG161" s="562">
        <f t="shared" si="203"/>
        <v>2.0875841859294652E-2</v>
      </c>
      <c r="CH161" s="753">
        <f>'FY 2016 by Agency'!CN162*Inflator!$E$18</f>
        <v>6887</v>
      </c>
      <c r="CI161" s="753">
        <f t="shared" si="204"/>
        <v>-144.41428166619517</v>
      </c>
      <c r="CJ161" s="304">
        <f t="shared" si="205"/>
        <v>-2.0538440188731719E-2</v>
      </c>
    </row>
    <row r="162" spans="1:88" ht="18" customHeight="1" x14ac:dyDescent="0.25">
      <c r="A162" s="313" t="s">
        <v>450</v>
      </c>
      <c r="B162" s="302">
        <f>'FY 2016 by Agency'!B163*Inflator!$E$2</f>
        <v>41651.427033492822</v>
      </c>
      <c r="C162" s="302">
        <f>'FY 2016 by Agency'!C163*Inflator!$E$3</f>
        <v>38709.974884080373</v>
      </c>
      <c r="D162" s="302">
        <f t="shared" si="166"/>
        <v>-2941.4521494124492</v>
      </c>
      <c r="E162" s="303">
        <f t="shared" si="206"/>
        <v>-7.0620681184516518E-2</v>
      </c>
      <c r="F162" s="204">
        <f>'FY 2016 by Agency'!F163*Inflator!$E$4</f>
        <v>37992.654358583939</v>
      </c>
      <c r="G162" s="204">
        <f t="shared" si="167"/>
        <v>-717.32052549643413</v>
      </c>
      <c r="H162" s="199">
        <f t="shared" si="207"/>
        <v>-1.8530637843204464E-2</v>
      </c>
      <c r="I162" s="204">
        <f>'FY 2016 by Agency'!I163*Inflator!$E$5</f>
        <v>40185.040163629608</v>
      </c>
      <c r="J162" s="204">
        <f t="shared" si="168"/>
        <v>2192.3858050456693</v>
      </c>
      <c r="K162" s="199">
        <f t="shared" si="169"/>
        <v>5.7705518133937081E-2</v>
      </c>
      <c r="L162" s="204">
        <f>'FY 2016 by Agency'!L163*Inflator!$E$6</f>
        <v>40091.396946564884</v>
      </c>
      <c r="M162" s="204">
        <f t="shared" si="170"/>
        <v>-93.643217064724013</v>
      </c>
      <c r="N162" s="199">
        <f t="shared" si="171"/>
        <v>-2.3303004472166227E-3</v>
      </c>
      <c r="O162" s="204">
        <f>'FY 2016 by Agency'!O163*Inflator!$E$7</f>
        <v>36794.733896515303</v>
      </c>
      <c r="P162" s="204">
        <f t="shared" si="193"/>
        <v>-3296.6630500495812</v>
      </c>
      <c r="Q162" s="304">
        <f t="shared" si="208"/>
        <v>-8.2228689971653543E-2</v>
      </c>
      <c r="R162" s="204">
        <f>'FY 2016 by Agency'!R163*Inflator!$E$8</f>
        <v>35162.88289205703</v>
      </c>
      <c r="S162" s="204">
        <f t="shared" si="172"/>
        <v>-1631.8510044582727</v>
      </c>
      <c r="T162" s="304">
        <f t="shared" si="209"/>
        <v>-4.4350123826084234E-2</v>
      </c>
      <c r="U162" s="204">
        <f>'FY 2016 by Agency'!U163*Inflator!$E$9</f>
        <v>29687.716511936334</v>
      </c>
      <c r="V162" s="204">
        <f t="shared" si="194"/>
        <v>-5475.166380120696</v>
      </c>
      <c r="W162" s="304">
        <f t="shared" si="195"/>
        <v>-0.15570868853183495</v>
      </c>
      <c r="X162" s="204">
        <f>'FY 2016 by Agency'!X163*Inflator!$E$10</f>
        <v>32288.555096856147</v>
      </c>
      <c r="Y162" s="206">
        <f t="shared" si="196"/>
        <v>2600.838584919813</v>
      </c>
      <c r="Z162" s="304">
        <f t="shared" si="210"/>
        <v>8.760655552184729E-2</v>
      </c>
      <c r="AA162" s="204">
        <f>'FY 2016 by Agency'!AA163*Inflator!$E$11</f>
        <v>17251.701178719341</v>
      </c>
      <c r="AB162" s="206">
        <f t="shared" si="173"/>
        <v>-15036.853918136807</v>
      </c>
      <c r="AC162" s="304">
        <f t="shared" si="174"/>
        <v>-0.46570228593477403</v>
      </c>
      <c r="AD162" s="204" t="e">
        <f>'FY 2016 by Agency'!AD163*Inflator!#REF!</f>
        <v>#REF!</v>
      </c>
      <c r="AE162" s="204">
        <f>'FY 2016 by Agency'!AE163*Inflator!$B$8</f>
        <v>0</v>
      </c>
      <c r="AF162" s="204">
        <f>'FY 2016 by Agency'!AF163*Inflator!$E$12</f>
        <v>43242.772556390984</v>
      </c>
      <c r="AG162" s="204">
        <f t="shared" si="175"/>
        <v>25991.071377671644</v>
      </c>
      <c r="AH162" s="304">
        <f t="shared" si="176"/>
        <v>1.50658019799999</v>
      </c>
      <c r="AI162" s="204">
        <f>'FY 2016 by Agency'!AI163*Inflator!$B$8</f>
        <v>0</v>
      </c>
      <c r="AJ162" s="204">
        <f>'FY 2016 by Agency'!AJ163*Inflator!$B$8</f>
        <v>0</v>
      </c>
      <c r="AK162" s="204">
        <f>'FY 2016 by Agency'!AK163</f>
        <v>30163</v>
      </c>
      <c r="AL162" s="204">
        <f>'FY 2016 by Agency'!AL163</f>
        <v>0</v>
      </c>
      <c r="AM162" s="204">
        <f>'FY 2016 by Agency'!AM163</f>
        <v>30163</v>
      </c>
      <c r="AN162" s="204">
        <f>'FY 2016 by Agency'!AN163</f>
        <v>28169</v>
      </c>
      <c r="AO162" s="204">
        <f>'FY 2016 by Agency'!AO163</f>
        <v>28169</v>
      </c>
      <c r="AP162" s="204">
        <f>'FY 2016 by Agency'!AP163</f>
        <v>0</v>
      </c>
      <c r="AQ162" s="204">
        <f>'FY 2016 by Agency'!AQ163</f>
        <v>18</v>
      </c>
      <c r="AR162" s="204">
        <f>'FY 2016 by Agency'!AR163</f>
        <v>18</v>
      </c>
      <c r="AS162" s="204">
        <f>'FY 2016 by Agency'!AS163</f>
        <v>29318.698120000001</v>
      </c>
      <c r="AT162" s="204" t="e">
        <f t="shared" si="177"/>
        <v>#REF!</v>
      </c>
      <c r="AU162" s="304" t="e">
        <f t="shared" si="178"/>
        <v>#REF!</v>
      </c>
      <c r="AV162" s="204">
        <f t="shared" si="179"/>
        <v>-13924.074436390983</v>
      </c>
      <c r="AW162" s="304">
        <f t="shared" si="180"/>
        <v>-0.32199772616876532</v>
      </c>
      <c r="AX162" s="410" t="s">
        <v>451</v>
      </c>
      <c r="AY162" s="200">
        <v>28169</v>
      </c>
      <c r="AZ162" s="200">
        <f t="shared" si="181"/>
        <v>0</v>
      </c>
      <c r="BA162" s="200">
        <f t="shared" si="182"/>
        <v>-13924.074436390983</v>
      </c>
      <c r="BB162" s="200">
        <f t="shared" si="183"/>
        <v>29318.698120000001</v>
      </c>
      <c r="BC162" s="304">
        <f t="shared" si="184"/>
        <v>-0.32199772616876532</v>
      </c>
      <c r="BD162" s="306">
        <v>0</v>
      </c>
      <c r="BE162" s="199">
        <f t="shared" si="211"/>
        <v>0</v>
      </c>
      <c r="BI162" s="200">
        <v>38169</v>
      </c>
      <c r="BJ162" s="200">
        <f t="shared" si="197"/>
        <v>10000</v>
      </c>
      <c r="BK162" s="200">
        <f t="shared" si="198"/>
        <v>38187</v>
      </c>
      <c r="BL162" s="307">
        <f>'FY 2016 by Agency'!BB163*Inflator!$E$13</f>
        <v>32215.567691901128</v>
      </c>
      <c r="BM162" s="204">
        <f t="shared" si="199"/>
        <v>-11027.204864489857</v>
      </c>
      <c r="BN162" s="199">
        <f t="shared" si="200"/>
        <v>-0.25500688814783484</v>
      </c>
      <c r="BO162" s="204">
        <f>'FY 2016 by Agency'!AX163*Inflator!$E$13</f>
        <v>41966.099176075681</v>
      </c>
      <c r="BP162" s="204">
        <f t="shared" si="185"/>
        <v>-1276.6733803153038</v>
      </c>
      <c r="BQ162" s="304">
        <f t="shared" si="186"/>
        <v>-2.9523393271105609E-2</v>
      </c>
      <c r="BR162" s="204">
        <f>'FY 2016 by Agency'!BE163*Inflator!$E$14</f>
        <v>30047.903456495827</v>
      </c>
      <c r="BS162" s="204">
        <f t="shared" si="187"/>
        <v>-11918.195719579853</v>
      </c>
      <c r="BT162" s="304">
        <f t="shared" si="188"/>
        <v>-0.28399579550091375</v>
      </c>
      <c r="BU162" s="204">
        <f>'FY 2016 by Agency'!BL163*Inflator!$E$14</f>
        <v>30047.903456495827</v>
      </c>
      <c r="BV162" s="204">
        <f t="shared" si="201"/>
        <v>-2167.6642354053001</v>
      </c>
      <c r="BW162" s="206">
        <v>19822</v>
      </c>
      <c r="BX162" s="206">
        <f>'FY 2016 by Agency'!BW163*Inflator!E15</f>
        <v>20937.750219876867</v>
      </c>
      <c r="BY162" s="204">
        <f>'FY 2016 by Agency'!BZ163*Inflator!$E$15</f>
        <v>24246.045734388739</v>
      </c>
      <c r="BZ162" s="206">
        <f t="shared" si="189"/>
        <v>-10225.903456495827</v>
      </c>
      <c r="CA162" s="199">
        <f t="shared" si="190"/>
        <v>-0.34032003168877217</v>
      </c>
      <c r="CB162" s="308">
        <f>'FY 2016 by Agency'!CF163*Inflator!$E$16</f>
        <v>22192.315911059773</v>
      </c>
      <c r="CC162" s="206">
        <f t="shared" si="191"/>
        <v>-2053.7298233289657</v>
      </c>
      <c r="CD162" s="304">
        <f t="shared" si="192"/>
        <v>-8.4703701619110297E-2</v>
      </c>
      <c r="CE162" s="206">
        <f>'FY 2016 by Agency'!CK163*Inflator!$E$17</f>
        <v>20645.016435250782</v>
      </c>
      <c r="CF162" s="206">
        <f t="shared" si="202"/>
        <v>-1547.2994758089917</v>
      </c>
      <c r="CG162" s="562">
        <f t="shared" si="203"/>
        <v>-6.9722307577546633E-2</v>
      </c>
      <c r="CH162" s="753">
        <f>'FY 2016 by Agency'!CN163*Inflator!$E$18</f>
        <v>20221</v>
      </c>
      <c r="CI162" s="753">
        <f t="shared" si="204"/>
        <v>-424.0164352507818</v>
      </c>
      <c r="CJ162" s="304">
        <f t="shared" si="205"/>
        <v>-2.0538440188731733E-2</v>
      </c>
    </row>
    <row r="163" spans="1:88" ht="18" customHeight="1" x14ac:dyDescent="0.25">
      <c r="A163" s="313" t="s">
        <v>271</v>
      </c>
      <c r="B163" s="302">
        <f>'FY 2016 by Agency'!B164*Inflator!$E$2</f>
        <v>1054.4665071770335</v>
      </c>
      <c r="C163" s="302">
        <f>'FY 2016 by Agency'!C164*Inflator!$E$3</f>
        <v>1605.2005409582691</v>
      </c>
      <c r="D163" s="302">
        <f t="shared" si="166"/>
        <v>550.73403378123567</v>
      </c>
      <c r="E163" s="303">
        <f t="shared" si="206"/>
        <v>0.52228689107976889</v>
      </c>
      <c r="F163" s="204">
        <f>'FY 2016 by Agency'!F164*Inflator!$E$4</f>
        <v>2105.2931100114201</v>
      </c>
      <c r="G163" s="204">
        <f t="shared" si="167"/>
        <v>500.09256905315101</v>
      </c>
      <c r="H163" s="199">
        <f t="shared" si="207"/>
        <v>0.31154522833303233</v>
      </c>
      <c r="I163" s="204">
        <f>'FY 2016 by Agency'!I164*Inflator!$E$5</f>
        <v>2133.1260691706957</v>
      </c>
      <c r="J163" s="204">
        <f t="shared" si="168"/>
        <v>27.832959159275561</v>
      </c>
      <c r="K163" s="199">
        <f t="shared" si="169"/>
        <v>1.3220467509687799E-2</v>
      </c>
      <c r="L163" s="204">
        <f>'FY 2016 by Agency'!L164*Inflator!$E$6</f>
        <v>2234.3576881134131</v>
      </c>
      <c r="M163" s="204">
        <f t="shared" si="170"/>
        <v>101.23161894271743</v>
      </c>
      <c r="N163" s="199">
        <f t="shared" si="171"/>
        <v>4.745693206125115E-2</v>
      </c>
      <c r="O163" s="204">
        <f>'FY 2016 by Agency'!O164*Inflator!$E$7</f>
        <v>2809.0971488912351</v>
      </c>
      <c r="P163" s="204">
        <f t="shared" si="193"/>
        <v>574.73946077782193</v>
      </c>
      <c r="Q163" s="304">
        <f t="shared" si="208"/>
        <v>0.25722804537312244</v>
      </c>
      <c r="R163" s="204">
        <f>'FY 2016 by Agency'!R164*Inflator!$E$8</f>
        <v>2839.8391038696541</v>
      </c>
      <c r="S163" s="204">
        <f t="shared" si="172"/>
        <v>30.741954978419017</v>
      </c>
      <c r="T163" s="304">
        <f t="shared" si="209"/>
        <v>1.0943713709065927E-2</v>
      </c>
      <c r="U163" s="204">
        <f>'FY 2016 by Agency'!U164*Inflator!$E$9</f>
        <v>2818.1289787798405</v>
      </c>
      <c r="V163" s="204">
        <f t="shared" si="194"/>
        <v>-21.710125089813573</v>
      </c>
      <c r="W163" s="304">
        <f t="shared" si="195"/>
        <v>-7.6448433505372452E-3</v>
      </c>
      <c r="X163" s="204">
        <f>'FY 2016 by Agency'!X164*Inflator!$E$10</f>
        <v>2980.5700222292794</v>
      </c>
      <c r="Y163" s="206">
        <f t="shared" si="196"/>
        <v>162.44104344943889</v>
      </c>
      <c r="Z163" s="304">
        <f t="shared" si="210"/>
        <v>5.7641451002633196E-2</v>
      </c>
      <c r="AA163" s="204">
        <f>'FY 2016 by Agency'!AA164*Inflator!$E$11</f>
        <v>3164.533609429755</v>
      </c>
      <c r="AB163" s="206">
        <f t="shared" si="173"/>
        <v>183.96358720047556</v>
      </c>
      <c r="AC163" s="304">
        <f t="shared" si="174"/>
        <v>6.1720941238911857E-2</v>
      </c>
      <c r="AD163" s="204" t="e">
        <f>'FY 2016 by Agency'!AD164*Inflator!#REF!</f>
        <v>#REF!</v>
      </c>
      <c r="AE163" s="204">
        <f>'FY 2016 by Agency'!AE164*Inflator!$B$8</f>
        <v>0</v>
      </c>
      <c r="AF163" s="204">
        <f>'FY 2016 by Agency'!AF164*Inflator!$E$12</f>
        <v>2508.1033834586469</v>
      </c>
      <c r="AG163" s="204">
        <f t="shared" si="175"/>
        <v>-656.43022597110803</v>
      </c>
      <c r="AH163" s="304">
        <f t="shared" si="176"/>
        <v>-0.2074334821456979</v>
      </c>
      <c r="AI163" s="204">
        <f>'FY 2016 by Agency'!AI164*Inflator!$B$8</f>
        <v>0</v>
      </c>
      <c r="AJ163" s="204">
        <f>'FY 2016 by Agency'!AJ164*Inflator!$B$8</f>
        <v>0</v>
      </c>
      <c r="AK163" s="204">
        <f>'FY 2016 by Agency'!AK164</f>
        <v>2673</v>
      </c>
      <c r="AL163" s="204">
        <f>'FY 2016 by Agency'!AL164</f>
        <v>5</v>
      </c>
      <c r="AM163" s="204">
        <f>'FY 2016 by Agency'!AM164</f>
        <v>2678</v>
      </c>
      <c r="AN163" s="204">
        <f>'FY 2016 by Agency'!AN164</f>
        <v>2200</v>
      </c>
      <c r="AO163" s="204">
        <f>'FY 2016 by Agency'!AO164</f>
        <v>2200</v>
      </c>
      <c r="AP163" s="204">
        <f>'FY 2016 by Agency'!AP164</f>
        <v>103</v>
      </c>
      <c r="AQ163" s="204">
        <f>'FY 2016 by Agency'!AQ164</f>
        <v>46</v>
      </c>
      <c r="AR163" s="204">
        <f>'FY 2016 by Agency'!AR164</f>
        <v>149</v>
      </c>
      <c r="AS163" s="204">
        <f>'FY 2016 by Agency'!AS164</f>
        <v>2299.1309999999999</v>
      </c>
      <c r="AT163" s="204" t="e">
        <f t="shared" si="177"/>
        <v>#REF!</v>
      </c>
      <c r="AU163" s="304" t="e">
        <f t="shared" si="178"/>
        <v>#REF!</v>
      </c>
      <c r="AV163" s="204">
        <f t="shared" si="179"/>
        <v>-208.97238345864707</v>
      </c>
      <c r="AW163" s="304">
        <f t="shared" si="180"/>
        <v>-8.3318887425795213E-2</v>
      </c>
      <c r="AX163" s="410" t="s">
        <v>452</v>
      </c>
      <c r="AY163" s="200">
        <v>2275.9595399999998</v>
      </c>
      <c r="AZ163" s="200">
        <f t="shared" si="181"/>
        <v>75.959539999999834</v>
      </c>
      <c r="BA163" s="200">
        <f t="shared" si="182"/>
        <v>-133.01284345864724</v>
      </c>
      <c r="BB163" s="200">
        <f t="shared" si="183"/>
        <v>2375.0905399999997</v>
      </c>
      <c r="BC163" s="304">
        <f t="shared" si="184"/>
        <v>-5.3033237918296616E-2</v>
      </c>
      <c r="BD163" s="306">
        <v>11.824999999999999</v>
      </c>
      <c r="BE163" s="199">
        <f t="shared" si="211"/>
        <v>5.195610814768702E-3</v>
      </c>
      <c r="BF163" s="66">
        <v>77</v>
      </c>
      <c r="BI163" s="200">
        <v>2166</v>
      </c>
      <c r="BJ163" s="200">
        <f t="shared" si="197"/>
        <v>-109.95953999999983</v>
      </c>
      <c r="BK163" s="200">
        <f t="shared" si="198"/>
        <v>2315</v>
      </c>
      <c r="BL163" s="307">
        <f>'FY 2016 by Agency'!BB164*Inflator!$E$13</f>
        <v>2364.0286826365577</v>
      </c>
      <c r="BM163" s="204">
        <f t="shared" si="199"/>
        <v>-144.0747008220892</v>
      </c>
      <c r="BN163" s="199">
        <f t="shared" si="200"/>
        <v>-5.7443685045953638E-2</v>
      </c>
      <c r="BO163" s="204">
        <f>'FY 2016 by Agency'!AX164*Inflator!$E$13</f>
        <v>2381.4763503204149</v>
      </c>
      <c r="BP163" s="204">
        <f t="shared" si="185"/>
        <v>-126.62703313823204</v>
      </c>
      <c r="BQ163" s="304">
        <f t="shared" si="186"/>
        <v>-5.0487166507313087E-2</v>
      </c>
      <c r="BR163" s="204">
        <f>'FY 2016 by Agency'!BE164*Inflator!$E$14</f>
        <v>2328.6373659117994</v>
      </c>
      <c r="BS163" s="204">
        <f t="shared" si="187"/>
        <v>-52.838984408615488</v>
      </c>
      <c r="BT163" s="304">
        <f t="shared" si="188"/>
        <v>-2.2187490714113658E-2</v>
      </c>
      <c r="BU163" s="204">
        <f>'FY 2016 by Agency'!BL164*Inflator!$E$14</f>
        <v>2433.8501191895111</v>
      </c>
      <c r="BV163" s="204">
        <f t="shared" si="201"/>
        <v>69.821436552953401</v>
      </c>
      <c r="BW163" s="309">
        <v>2193</v>
      </c>
      <c r="BX163" s="206">
        <f>'FY 2016 by Agency'!BW164*Inflator!E15</f>
        <v>2422.0694810905889</v>
      </c>
      <c r="BY163" s="204">
        <f>'FY 2016 by Agency'!BZ164*Inflator!$E$15</f>
        <v>2457.9832893579592</v>
      </c>
      <c r="BZ163" s="206">
        <f t="shared" si="189"/>
        <v>-135.63736591179941</v>
      </c>
      <c r="CA163" s="199">
        <f t="shared" si="190"/>
        <v>-5.8247526170176929E-2</v>
      </c>
      <c r="CB163" s="308">
        <f>'FY 2016 by Agency'!CF164*Inflator!$E$16</f>
        <v>2819.5581865434592</v>
      </c>
      <c r="CC163" s="206">
        <f t="shared" si="191"/>
        <v>361.57489718550005</v>
      </c>
      <c r="CD163" s="304">
        <f t="shared" si="192"/>
        <v>0.14710226011338984</v>
      </c>
      <c r="CE163" s="206">
        <f>'FY 2016 by Agency'!CK164*Inflator!$E$17</f>
        <v>3203.8010767922929</v>
      </c>
      <c r="CF163" s="206">
        <f t="shared" si="202"/>
        <v>384.24289024883365</v>
      </c>
      <c r="CG163" s="562">
        <f t="shared" si="203"/>
        <v>0.13627769488236136</v>
      </c>
      <c r="CH163" s="753">
        <f>'FY 2016 by Agency'!CN164*Inflator!$E$18</f>
        <v>3451</v>
      </c>
      <c r="CI163" s="753">
        <f t="shared" si="204"/>
        <v>247.19892320770714</v>
      </c>
      <c r="CJ163" s="304">
        <f t="shared" si="205"/>
        <v>7.7158012399199088E-2</v>
      </c>
    </row>
    <row r="164" spans="1:88" ht="18" customHeight="1" x14ac:dyDescent="0.25">
      <c r="A164" s="313" t="s">
        <v>272</v>
      </c>
      <c r="B164" s="302">
        <f>'FY 2016 by Agency'!B165*Inflator!$E$2</f>
        <v>1277.13995215311</v>
      </c>
      <c r="C164" s="302">
        <f>'FY 2016 by Agency'!C165*Inflator!$E$3</f>
        <v>3211.7932766615149</v>
      </c>
      <c r="D164" s="302">
        <f t="shared" si="166"/>
        <v>1934.6533245084049</v>
      </c>
      <c r="E164" s="303">
        <f t="shared" si="206"/>
        <v>1.5148326706456905</v>
      </c>
      <c r="F164" s="204">
        <f>'FY 2016 by Agency'!F165*Inflator!$E$4</f>
        <v>3851.2462885420632</v>
      </c>
      <c r="G164" s="204">
        <f t="shared" si="167"/>
        <v>639.45301188054827</v>
      </c>
      <c r="H164" s="199">
        <f t="shared" si="207"/>
        <v>0.19909532052611587</v>
      </c>
      <c r="I164" s="204">
        <f>'FY 2016 by Agency'!I165*Inflator!$E$5</f>
        <v>3968.7936035701009</v>
      </c>
      <c r="J164" s="204">
        <f t="shared" si="168"/>
        <v>117.5473150280377</v>
      </c>
      <c r="K164" s="199">
        <f t="shared" si="169"/>
        <v>3.0521889856215009E-2</v>
      </c>
      <c r="L164" s="204">
        <f>'FY 2016 by Agency'!L165*Inflator!$E$6</f>
        <v>3981.5049073064342</v>
      </c>
      <c r="M164" s="204">
        <f t="shared" si="170"/>
        <v>12.711303736333321</v>
      </c>
      <c r="N164" s="199">
        <f t="shared" si="171"/>
        <v>3.2028129971029369E-3</v>
      </c>
      <c r="O164" s="204">
        <f>'FY 2016 by Agency'!O165*Inflator!$E$7</f>
        <v>4913.0665258711715</v>
      </c>
      <c r="P164" s="204">
        <f t="shared" si="193"/>
        <v>931.56161856473727</v>
      </c>
      <c r="Q164" s="304">
        <f t="shared" si="208"/>
        <v>0.23397223920413474</v>
      </c>
      <c r="R164" s="204">
        <f>'FY 2016 by Agency'!R165*Inflator!$E$8</f>
        <v>4466.4480651731164</v>
      </c>
      <c r="S164" s="204">
        <f t="shared" si="172"/>
        <v>-446.61846069805506</v>
      </c>
      <c r="T164" s="304">
        <f t="shared" si="209"/>
        <v>-9.0904216001606433E-2</v>
      </c>
      <c r="U164" s="204">
        <f>'FY 2016 by Agency'!U165*Inflator!$E$9</f>
        <v>4933.8163129973473</v>
      </c>
      <c r="V164" s="204">
        <f t="shared" si="194"/>
        <v>467.36824782423082</v>
      </c>
      <c r="W164" s="304">
        <f t="shared" si="195"/>
        <v>0.10463980348691594</v>
      </c>
      <c r="X164" s="204">
        <f>'FY 2016 by Agency'!X165*Inflator!$E$10</f>
        <v>4713.9917434106073</v>
      </c>
      <c r="Y164" s="206">
        <f t="shared" si="196"/>
        <v>-219.82456958673993</v>
      </c>
      <c r="Z164" s="304">
        <f t="shared" si="210"/>
        <v>-4.4554672416086384E-2</v>
      </c>
      <c r="AA164" s="204">
        <f>'FY 2016 by Agency'!AA165*Inflator!$E$11</f>
        <v>5265.0401401720301</v>
      </c>
      <c r="AB164" s="206">
        <f t="shared" si="173"/>
        <v>551.04839676142274</v>
      </c>
      <c r="AC164" s="304">
        <f t="shared" si="174"/>
        <v>0.11689634321733776</v>
      </c>
      <c r="AD164" s="204" t="e">
        <f>'FY 2016 by Agency'!AD165*Inflator!#REF!</f>
        <v>#REF!</v>
      </c>
      <c r="AE164" s="204">
        <f>'FY 2016 by Agency'!AE165*Inflator!$B$8</f>
        <v>0</v>
      </c>
      <c r="AF164" s="204">
        <f>'FY 2016 by Agency'!AF165*Inflator!$E$12</f>
        <v>4189.9548872180458</v>
      </c>
      <c r="AG164" s="204">
        <f t="shared" si="175"/>
        <v>-1075.0852529539843</v>
      </c>
      <c r="AH164" s="304">
        <f t="shared" si="176"/>
        <v>-0.204193173144328</v>
      </c>
      <c r="AI164" s="204">
        <f>'FY 2016 by Agency'!AI165*Inflator!$B$8</f>
        <v>0</v>
      </c>
      <c r="AJ164" s="204">
        <f>'FY 2016 by Agency'!AJ165*Inflator!$B$8</f>
        <v>0</v>
      </c>
      <c r="AK164" s="204">
        <f>'FY 2016 by Agency'!AK165</f>
        <v>3867</v>
      </c>
      <c r="AL164" s="204">
        <f>'FY 2016 by Agency'!AL165</f>
        <v>0</v>
      </c>
      <c r="AM164" s="204">
        <f>'FY 2016 by Agency'!AM165</f>
        <v>3867</v>
      </c>
      <c r="AN164" s="204">
        <f>'FY 2016 by Agency'!AN165</f>
        <v>2100</v>
      </c>
      <c r="AO164" s="204">
        <f>'FY 2016 by Agency'!AO165</f>
        <v>2100</v>
      </c>
      <c r="AP164" s="204">
        <f>'FY 2016 by Agency'!AP165</f>
        <v>78</v>
      </c>
      <c r="AQ164" s="204">
        <f>'FY 2016 by Agency'!AQ165</f>
        <v>5</v>
      </c>
      <c r="AR164" s="204">
        <f>'FY 2016 by Agency'!AR165</f>
        <v>83</v>
      </c>
      <c r="AS164" s="204">
        <f>'FY 2016 by Agency'!AS165</f>
        <v>2614.3733400000001</v>
      </c>
      <c r="AT164" s="204" t="e">
        <f t="shared" si="177"/>
        <v>#REF!</v>
      </c>
      <c r="AU164" s="304" t="e">
        <f t="shared" si="178"/>
        <v>#REF!</v>
      </c>
      <c r="AV164" s="204">
        <f t="shared" si="179"/>
        <v>-1575.5815472180457</v>
      </c>
      <c r="AW164" s="304">
        <f t="shared" si="180"/>
        <v>-0.37603783086651937</v>
      </c>
      <c r="AX164" s="305" t="s">
        <v>453</v>
      </c>
      <c r="AY164" s="200">
        <v>2488.6309999999999</v>
      </c>
      <c r="AZ164" s="200">
        <f t="shared" si="181"/>
        <v>388.63099999999986</v>
      </c>
      <c r="BA164" s="200">
        <f t="shared" si="182"/>
        <v>-1186.9505472180458</v>
      </c>
      <c r="BB164" s="200">
        <f t="shared" si="183"/>
        <v>3003.00434</v>
      </c>
      <c r="BC164" s="304">
        <f t="shared" si="184"/>
        <v>-0.28328480357604302</v>
      </c>
      <c r="BD164" s="306">
        <v>213.065</v>
      </c>
      <c r="BE164" s="199">
        <f t="shared" si="211"/>
        <v>8.5615344339920227E-2</v>
      </c>
      <c r="BF164" s="66">
        <v>213</v>
      </c>
      <c r="BI164" s="200">
        <v>2664</v>
      </c>
      <c r="BJ164" s="200">
        <f t="shared" si="197"/>
        <v>175.36900000000014</v>
      </c>
      <c r="BK164" s="200">
        <f t="shared" si="198"/>
        <v>2747</v>
      </c>
      <c r="BL164" s="307">
        <f>'FY 2016 by Agency'!BB165*Inflator!$E$13</f>
        <v>2783.1974806286239</v>
      </c>
      <c r="BM164" s="204">
        <f t="shared" si="199"/>
        <v>-1406.7574065894219</v>
      </c>
      <c r="BN164" s="199">
        <f t="shared" si="200"/>
        <v>-0.33574523937737422</v>
      </c>
      <c r="BO164" s="204">
        <f>'FY 2016 by Agency'!AX165*Inflator!$E$13</f>
        <v>2929.0180042722</v>
      </c>
      <c r="BP164" s="204">
        <f t="shared" si="185"/>
        <v>-1260.9368829458458</v>
      </c>
      <c r="BQ164" s="304">
        <f t="shared" si="186"/>
        <v>-0.30094283038523478</v>
      </c>
      <c r="BR164" s="204">
        <f>'FY 2016 by Agency'!BE165*Inflator!$E$14</f>
        <v>2837.5235399284861</v>
      </c>
      <c r="BS164" s="204">
        <f t="shared" si="187"/>
        <v>-91.494464343713844</v>
      </c>
      <c r="BT164" s="304">
        <f t="shared" si="188"/>
        <v>-3.123724886984719E-2</v>
      </c>
      <c r="BU164" s="204">
        <f>'FY 2016 by Agency'!BL165*Inflator!$E$14</f>
        <v>2923.4115017878426</v>
      </c>
      <c r="BV164" s="204">
        <f t="shared" si="201"/>
        <v>140.21402115921865</v>
      </c>
      <c r="BW164" s="309">
        <v>2685</v>
      </c>
      <c r="BX164" s="206">
        <f>'FY 2016 by Agency'!BW165*Inflator!E15</f>
        <v>2914.2999120492523</v>
      </c>
      <c r="BY164" s="204">
        <f>'FY 2016 by Agency'!BZ165*Inflator!$E$15</f>
        <v>2845.6411609498678</v>
      </c>
      <c r="BZ164" s="206">
        <f t="shared" si="189"/>
        <v>-152.52353992848612</v>
      </c>
      <c r="CA164" s="199">
        <f t="shared" si="190"/>
        <v>-5.3752343472128573E-2</v>
      </c>
      <c r="CB164" s="308">
        <f>'FY 2016 by Agency'!CF165*Inflator!$E$16</f>
        <v>2806.0326306670513</v>
      </c>
      <c r="CC164" s="206">
        <f t="shared" si="191"/>
        <v>-39.608530282816446</v>
      </c>
      <c r="CD164" s="304">
        <f t="shared" si="192"/>
        <v>-1.3919017909340059E-2</v>
      </c>
      <c r="CE164" s="206">
        <f>'FY 2016 by Agency'!CK165*Inflator!$E$17</f>
        <v>2827.0634740719752</v>
      </c>
      <c r="CF164" s="206">
        <f t="shared" si="202"/>
        <v>21.030843404923871</v>
      </c>
      <c r="CG164" s="562">
        <f t="shared" si="203"/>
        <v>7.4948677271526988E-3</v>
      </c>
      <c r="CH164" s="753">
        <f>'FY 2016 by Agency'!CN165*Inflator!$E$18</f>
        <v>2782</v>
      </c>
      <c r="CI164" s="753">
        <f t="shared" si="204"/>
        <v>-45.063474071975179</v>
      </c>
      <c r="CJ164" s="304">
        <f t="shared" si="205"/>
        <v>-1.594002910980551E-2</v>
      </c>
    </row>
    <row r="165" spans="1:88" ht="18" customHeight="1" x14ac:dyDescent="0.25">
      <c r="A165" s="312" t="s">
        <v>273</v>
      </c>
      <c r="B165" s="302">
        <f>'FY 2016 by Agency'!B166*Inflator!$E$2</f>
        <v>436.72727272727275</v>
      </c>
      <c r="C165" s="302">
        <f>'FY 2016 by Agency'!C166*Inflator!$E$3</f>
        <v>541.56375579598148</v>
      </c>
      <c r="D165" s="302">
        <f t="shared" si="166"/>
        <v>104.83648306870873</v>
      </c>
      <c r="E165" s="303">
        <f t="shared" si="206"/>
        <v>0.24005023183925811</v>
      </c>
      <c r="F165" s="204">
        <f>'FY 2016 by Agency'!F166*Inflator!$E$4</f>
        <v>3712.7221164826801</v>
      </c>
      <c r="G165" s="204">
        <f t="shared" si="167"/>
        <v>3171.1583606866989</v>
      </c>
      <c r="H165" s="199">
        <f t="shared" si="207"/>
        <v>5.8555586978411851</v>
      </c>
      <c r="I165" s="204">
        <f>'FY 2016 by Agency'!I166*Inflator!$E$5</f>
        <v>3842.8426924507253</v>
      </c>
      <c r="J165" s="204">
        <f t="shared" si="168"/>
        <v>130.12057596804516</v>
      </c>
      <c r="K165" s="199">
        <f t="shared" si="169"/>
        <v>3.5047216539684747E-2</v>
      </c>
      <c r="L165" s="204">
        <f>'FY 2016 by Agency'!L166*Inflator!$E$6</f>
        <v>2589.2878953107961</v>
      </c>
      <c r="M165" s="204">
        <f t="shared" si="170"/>
        <v>-1253.5547971399292</v>
      </c>
      <c r="N165" s="199">
        <f t="shared" si="171"/>
        <v>-0.32620507719520786</v>
      </c>
      <c r="O165" s="204">
        <f>'FY 2016 by Agency'!O166*Inflator!$E$7</f>
        <v>5460.935586061245</v>
      </c>
      <c r="P165" s="204">
        <f t="shared" si="193"/>
        <v>2871.6476907504489</v>
      </c>
      <c r="Q165" s="304">
        <f t="shared" si="208"/>
        <v>1.1090492084526431</v>
      </c>
      <c r="R165" s="204">
        <f>'FY 2016 by Agency'!R166*Inflator!$E$8</f>
        <v>3673.9348268839103</v>
      </c>
      <c r="S165" s="204">
        <f t="shared" si="172"/>
        <v>-1787.0007591773347</v>
      </c>
      <c r="T165" s="304">
        <f t="shared" si="209"/>
        <v>-0.32723344397955573</v>
      </c>
      <c r="U165" s="204">
        <f>'FY 2016 by Agency'!U166*Inflator!$E$9</f>
        <v>-2.3892572944297079</v>
      </c>
      <c r="V165" s="204">
        <f t="shared" si="194"/>
        <v>-3676.3240841783399</v>
      </c>
      <c r="W165" s="304">
        <f t="shared" si="195"/>
        <v>-1.0006503265319098</v>
      </c>
      <c r="X165" s="204">
        <f>'FY 2016 by Agency'!X166*Inflator!$E$10</f>
        <v>-38.901873610670059</v>
      </c>
      <c r="Y165" s="206">
        <f t="shared" si="196"/>
        <v>-36.512616316240354</v>
      </c>
      <c r="Z165" s="304">
        <f t="shared" si="210"/>
        <v>15.281994283899657</v>
      </c>
      <c r="AA165" s="204">
        <f>'FY 2016 by Agency'!AA166*Inflator!$E$11</f>
        <v>0</v>
      </c>
      <c r="AB165" s="206">
        <f t="shared" si="173"/>
        <v>38.901873610670059</v>
      </c>
      <c r="AC165" s="304">
        <f t="shared" si="174"/>
        <v>-1</v>
      </c>
      <c r="AD165" s="204" t="e">
        <f>'FY 2016 by Agency'!AD166*Inflator!#REF!</f>
        <v>#REF!</v>
      </c>
      <c r="AE165" s="204">
        <f>'FY 2016 by Agency'!AE166*Inflator!$B$8</f>
        <v>0</v>
      </c>
      <c r="AF165" s="204">
        <f>'FY 2016 by Agency'!AF166*Inflator!$E$12</f>
        <v>0</v>
      </c>
      <c r="AG165" s="204">
        <f t="shared" si="175"/>
        <v>0</v>
      </c>
      <c r="AH165" s="304" t="e">
        <f t="shared" si="176"/>
        <v>#DIV/0!</v>
      </c>
      <c r="AI165" s="204">
        <f>'FY 2016 by Agency'!AI166*Inflator!$B$8</f>
        <v>0</v>
      </c>
      <c r="AJ165" s="204">
        <f>'FY 2016 by Agency'!AJ166*Inflator!$B$8</f>
        <v>0</v>
      </c>
      <c r="AK165" s="204">
        <f>'FY 2016 by Agency'!AK166</f>
        <v>0</v>
      </c>
      <c r="AL165" s="204">
        <f>'FY 2016 by Agency'!AL166</f>
        <v>0</v>
      </c>
      <c r="AM165" s="204">
        <f>'FY 2016 by Agency'!AM166</f>
        <v>0</v>
      </c>
      <c r="AN165" s="204">
        <f>'FY 2016 by Agency'!AN166</f>
        <v>0</v>
      </c>
      <c r="AO165" s="204">
        <f>'FY 2016 by Agency'!AO166</f>
        <v>0</v>
      </c>
      <c r="AP165" s="204">
        <f>'FY 2016 by Agency'!AP166</f>
        <v>0</v>
      </c>
      <c r="AQ165" s="204">
        <f>'FY 2016 by Agency'!AQ166</f>
        <v>0</v>
      </c>
      <c r="AR165" s="204">
        <f>'FY 2016 by Agency'!AR166</f>
        <v>0</v>
      </c>
      <c r="AS165" s="204">
        <f>'FY 2016 by Agency'!AS166</f>
        <v>0</v>
      </c>
      <c r="AT165" s="204" t="e">
        <f t="shared" si="177"/>
        <v>#REF!</v>
      </c>
      <c r="AU165" s="304" t="e">
        <f t="shared" si="178"/>
        <v>#REF!</v>
      </c>
      <c r="AV165" s="204">
        <f t="shared" si="179"/>
        <v>0</v>
      </c>
      <c r="AW165" s="304" t="e">
        <f t="shared" si="180"/>
        <v>#DIV/0!</v>
      </c>
      <c r="AY165" s="200"/>
      <c r="AZ165" s="200">
        <f t="shared" si="181"/>
        <v>0</v>
      </c>
      <c r="BA165" s="200">
        <f t="shared" si="182"/>
        <v>0</v>
      </c>
      <c r="BB165" s="200">
        <f t="shared" si="183"/>
        <v>0</v>
      </c>
      <c r="BC165" s="304"/>
      <c r="BD165" s="306"/>
      <c r="BE165" s="419"/>
      <c r="BI165" s="200"/>
      <c r="BJ165" s="200">
        <f t="shared" si="197"/>
        <v>0</v>
      </c>
      <c r="BK165" s="200">
        <f t="shared" si="198"/>
        <v>0</v>
      </c>
      <c r="BL165" s="307">
        <f>'FY 2016 by Agency'!BB166*Inflator!$E$13</f>
        <v>0</v>
      </c>
      <c r="BM165" s="204">
        <f t="shared" si="199"/>
        <v>0</v>
      </c>
      <c r="BN165" s="199" t="e">
        <f t="shared" si="200"/>
        <v>#DIV/0!</v>
      </c>
      <c r="BO165" s="204">
        <f>'FY 2016 by Agency'!AX166*Inflator!$E$13</f>
        <v>0</v>
      </c>
      <c r="BP165" s="204">
        <f t="shared" si="185"/>
        <v>0</v>
      </c>
      <c r="BQ165" s="304" t="e">
        <f t="shared" si="186"/>
        <v>#DIV/0!</v>
      </c>
      <c r="BR165" s="204">
        <f>'FY 2016 by Agency'!BE166*Inflator!$E$14</f>
        <v>0</v>
      </c>
      <c r="BS165" s="204">
        <f t="shared" si="187"/>
        <v>0</v>
      </c>
      <c r="BT165" s="304" t="e">
        <f t="shared" si="188"/>
        <v>#DIV/0!</v>
      </c>
      <c r="BU165" s="204">
        <f>'FY 2016 by Agency'!BL166*Inflator!$E$14</f>
        <v>0</v>
      </c>
      <c r="BV165" s="204">
        <f t="shared" si="201"/>
        <v>0</v>
      </c>
      <c r="BW165" s="206">
        <v>0</v>
      </c>
      <c r="BX165" s="206">
        <f>'FY 2016 by Agency'!BW165*Inflator!E28</f>
        <v>0</v>
      </c>
      <c r="BY165" s="204">
        <f>'FY 2016 by Agency'!BZ166*Inflator!$E$15</f>
        <v>0</v>
      </c>
      <c r="BZ165" s="206">
        <f t="shared" si="189"/>
        <v>0</v>
      </c>
      <c r="CA165" s="199" t="e">
        <f t="shared" si="190"/>
        <v>#DIV/0!</v>
      </c>
      <c r="CB165" s="308">
        <f>'FY 2016 by Agency'!CF166*Inflator!$E$16</f>
        <v>0</v>
      </c>
      <c r="CC165" s="206">
        <f t="shared" si="191"/>
        <v>0</v>
      </c>
      <c r="CD165" s="304" t="e">
        <f t="shared" si="192"/>
        <v>#DIV/0!</v>
      </c>
      <c r="CE165" s="206">
        <f>'FY 2016 by Agency'!CK166*Inflator!$E$17</f>
        <v>0</v>
      </c>
      <c r="CF165" s="206">
        <f t="shared" si="202"/>
        <v>0</v>
      </c>
      <c r="CG165" s="562" t="e">
        <f t="shared" si="203"/>
        <v>#DIV/0!</v>
      </c>
      <c r="CH165" s="753">
        <f>'FY 2016 by Agency'!CN166*Inflator!$E$18</f>
        <v>0</v>
      </c>
      <c r="CI165" s="753">
        <f t="shared" si="204"/>
        <v>0</v>
      </c>
      <c r="CJ165" s="304" t="e">
        <f t="shared" si="205"/>
        <v>#DIV/0!</v>
      </c>
    </row>
    <row r="166" spans="1:88" ht="18" customHeight="1" x14ac:dyDescent="0.25">
      <c r="A166" s="313" t="s">
        <v>274</v>
      </c>
      <c r="B166" s="302">
        <f>'FY 2016 by Agency'!B167*Inflator!$E$2</f>
        <v>0</v>
      </c>
      <c r="C166" s="302">
        <f>'FY 2016 by Agency'!C167*Inflator!$E$3</f>
        <v>6960.9737248840811</v>
      </c>
      <c r="D166" s="302">
        <f t="shared" si="166"/>
        <v>6960.9737248840811</v>
      </c>
      <c r="E166" s="302" t="s">
        <v>132</v>
      </c>
      <c r="F166" s="204">
        <f>'FY 2016 by Agency'!F167*Inflator!$E$4</f>
        <v>7997.3707651313289</v>
      </c>
      <c r="G166" s="204">
        <f t="shared" si="167"/>
        <v>1036.3970402472478</v>
      </c>
      <c r="H166" s="199">
        <f t="shared" si="207"/>
        <v>0.14888679101636842</v>
      </c>
      <c r="I166" s="204">
        <f>'FY 2016 by Agency'!I167*Inflator!$E$5</f>
        <v>3842.8426924507253</v>
      </c>
      <c r="J166" s="204">
        <f t="shared" si="168"/>
        <v>-4154.5280726806031</v>
      </c>
      <c r="K166" s="199">
        <f t="shared" si="169"/>
        <v>-0.51948674066662204</v>
      </c>
      <c r="L166" s="204">
        <f>'FY 2016 by Agency'!L167*Inflator!$E$6</f>
        <v>6375.6466739367506</v>
      </c>
      <c r="M166" s="204">
        <f t="shared" si="170"/>
        <v>2532.8039814860254</v>
      </c>
      <c r="N166" s="199">
        <f t="shared" si="171"/>
        <v>0.65909645129677707</v>
      </c>
      <c r="O166" s="204">
        <f>'FY 2016 by Agency'!O167*Inflator!$E$7</f>
        <v>6427.3157338965148</v>
      </c>
      <c r="P166" s="204">
        <f t="shared" si="193"/>
        <v>51.669059959764127</v>
      </c>
      <c r="Q166" s="304">
        <f t="shared" si="208"/>
        <v>8.1041285068358705E-3</v>
      </c>
      <c r="R166" s="204">
        <f>'FY 2016 by Agency'!R167*Inflator!$E$8</f>
        <v>11311.658859470468</v>
      </c>
      <c r="S166" s="204">
        <f t="shared" si="172"/>
        <v>4884.3431255739533</v>
      </c>
      <c r="T166" s="304">
        <f t="shared" si="209"/>
        <v>0.75993514676971607</v>
      </c>
      <c r="U166" s="204">
        <f>'FY 2016 by Agency'!U167*Inflator!$E$9</f>
        <v>15640.078249336868</v>
      </c>
      <c r="V166" s="204">
        <f t="shared" si="194"/>
        <v>4328.4193898663998</v>
      </c>
      <c r="W166" s="304">
        <f t="shared" si="195"/>
        <v>0.38265116050971731</v>
      </c>
      <c r="X166" s="204">
        <f>'FY 2016 by Agency'!X167*Inflator!$E$10</f>
        <v>23811.379167989839</v>
      </c>
      <c r="Y166" s="206">
        <f t="shared" si="196"/>
        <v>8171.3009186529707</v>
      </c>
      <c r="Z166" s="304">
        <f t="shared" si="210"/>
        <v>0.52245908162252519</v>
      </c>
      <c r="AA166" s="204">
        <f>'FY 2016 by Agency'!AA167*Inflator!$E$11</f>
        <v>21188.716151640652</v>
      </c>
      <c r="AB166" s="206">
        <f t="shared" si="173"/>
        <v>-2622.6630163491864</v>
      </c>
      <c r="AC166" s="304">
        <f t="shared" si="174"/>
        <v>-0.11014326376671579</v>
      </c>
      <c r="AD166" s="204" t="e">
        <f>'FY 2016 by Agency'!AD167*Inflator!#REF!</f>
        <v>#REF!</v>
      </c>
      <c r="AE166" s="204">
        <f>'FY 2016 by Agency'!AE167*Inflator!$B$8</f>
        <v>0</v>
      </c>
      <c r="AF166" s="204">
        <f>'FY 2016 by Agency'!AF167*Inflator!$E$12</f>
        <v>11967.107142857145</v>
      </c>
      <c r="AG166" s="204">
        <f t="shared" si="175"/>
        <v>-9221.6090087835073</v>
      </c>
      <c r="AH166" s="304">
        <f t="shared" si="176"/>
        <v>-0.43521320229066707</v>
      </c>
      <c r="AI166" s="204">
        <f>'FY 2016 by Agency'!AI167*Inflator!$B$8</f>
        <v>0</v>
      </c>
      <c r="AJ166" s="204">
        <f>'FY 2016 by Agency'!AJ167*Inflator!$B$8</f>
        <v>0</v>
      </c>
      <c r="AK166" s="204">
        <f>'FY 2016 by Agency'!AK167</f>
        <v>0</v>
      </c>
      <c r="AL166" s="204">
        <f>'FY 2016 by Agency'!AL167</f>
        <v>10602</v>
      </c>
      <c r="AM166" s="204">
        <f>'FY 2016 by Agency'!AM167</f>
        <v>10602</v>
      </c>
      <c r="AN166" s="204">
        <f>'FY 2016 by Agency'!AN167</f>
        <v>7200</v>
      </c>
      <c r="AO166" s="204">
        <f>'FY 2016 by Agency'!AO167</f>
        <v>7200</v>
      </c>
      <c r="AP166" s="204">
        <f>'FY 2016 by Agency'!AP167</f>
        <v>0</v>
      </c>
      <c r="AQ166" s="204">
        <f>'FY 2016 by Agency'!AQ167</f>
        <v>0</v>
      </c>
      <c r="AR166" s="204">
        <f>'FY 2016 by Agency'!AR167</f>
        <v>0</v>
      </c>
      <c r="AS166" s="204">
        <f>'FY 2016 by Agency'!AS167</f>
        <v>5120</v>
      </c>
      <c r="AT166" s="204" t="e">
        <f t="shared" si="177"/>
        <v>#REF!</v>
      </c>
      <c r="AU166" s="304" t="e">
        <f t="shared" si="178"/>
        <v>#REF!</v>
      </c>
      <c r="AV166" s="204">
        <f t="shared" si="179"/>
        <v>-6847.1071428571449</v>
      </c>
      <c r="AW166" s="304">
        <f t="shared" si="180"/>
        <v>-0.57216059496417271</v>
      </c>
      <c r="AX166" s="410" t="s">
        <v>454</v>
      </c>
      <c r="AY166" s="200">
        <v>7200</v>
      </c>
      <c r="AZ166" s="200">
        <f t="shared" si="181"/>
        <v>0</v>
      </c>
      <c r="BA166" s="200">
        <f t="shared" si="182"/>
        <v>-6847.1071428571449</v>
      </c>
      <c r="BB166" s="200">
        <f t="shared" si="183"/>
        <v>5120</v>
      </c>
      <c r="BC166" s="304">
        <f t="shared" si="184"/>
        <v>-0.57216059496417271</v>
      </c>
      <c r="BD166" s="306">
        <v>720</v>
      </c>
      <c r="BE166" s="199">
        <f t="shared" ref="BE166:BE171" si="212">BD166/AY166</f>
        <v>0.1</v>
      </c>
      <c r="BI166" s="200">
        <v>4625</v>
      </c>
      <c r="BJ166" s="200">
        <f t="shared" si="197"/>
        <v>-2575</v>
      </c>
      <c r="BK166" s="200">
        <f t="shared" si="198"/>
        <v>4625</v>
      </c>
      <c r="BL166" s="307">
        <f>'FY 2016 by Agency'!BB167*Inflator!$E$13</f>
        <v>5629.3439121147385</v>
      </c>
      <c r="BM166" s="204">
        <f t="shared" si="199"/>
        <v>-6337.7632307424064</v>
      </c>
      <c r="BN166" s="199">
        <f t="shared" si="200"/>
        <v>-0.5295986034958543</v>
      </c>
      <c r="BO166" s="204">
        <f>'FY 2016 by Agency'!AX167*Inflator!$E$13</f>
        <v>5085.1007018614582</v>
      </c>
      <c r="BP166" s="204">
        <f t="shared" si="185"/>
        <v>-6882.0064409956867</v>
      </c>
      <c r="BQ166" s="304">
        <f t="shared" si="186"/>
        <v>-0.57507686350943865</v>
      </c>
      <c r="BR166" s="204">
        <f>'FY 2016 by Agency'!BE167*Inflator!$E$14</f>
        <v>4282.588498212157</v>
      </c>
      <c r="BS166" s="204">
        <f t="shared" si="187"/>
        <v>-802.51220364930123</v>
      </c>
      <c r="BT166" s="304">
        <f t="shared" si="188"/>
        <v>-0.1578163837257997</v>
      </c>
      <c r="BU166" s="204">
        <f>'FY 2016 by Agency'!BL167*Inflator!$E$14</f>
        <v>4282.588498212157</v>
      </c>
      <c r="BV166" s="204">
        <f t="shared" si="201"/>
        <v>-1346.7554139025815</v>
      </c>
      <c r="BW166" s="206">
        <v>3000</v>
      </c>
      <c r="BX166" s="206"/>
      <c r="BY166" s="204">
        <f>'FY 2016 by Agency'!BZ167*Inflator!$E$15</f>
        <v>6865.8751099384335</v>
      </c>
      <c r="BZ166" s="206">
        <f t="shared" si="189"/>
        <v>-1282.588498212157</v>
      </c>
      <c r="CA166" s="199">
        <f t="shared" si="190"/>
        <v>-0.29948908206978009</v>
      </c>
      <c r="CB166" s="308">
        <f>'FY 2016 by Agency'!CF167*Inflator!$E$16</f>
        <v>11860.872076234478</v>
      </c>
      <c r="CC166" s="206">
        <f t="shared" si="191"/>
        <v>4994.9969662960448</v>
      </c>
      <c r="CD166" s="304">
        <f t="shared" si="192"/>
        <v>0.72751060663275524</v>
      </c>
      <c r="CE166" s="206">
        <f>'FY 2016 by Agency'!CK167*Inflator!$E$17</f>
        <v>3062.9073391895727</v>
      </c>
      <c r="CF166" s="206">
        <f t="shared" si="202"/>
        <v>-8797.9647370449056</v>
      </c>
      <c r="CG166" s="562">
        <f t="shared" si="203"/>
        <v>-0.74176373208453261</v>
      </c>
      <c r="CH166" s="753">
        <f>'FY 2016 by Agency'!CN167*Inflator!$E$18</f>
        <v>3000</v>
      </c>
      <c r="CI166" s="753">
        <f t="shared" si="204"/>
        <v>-62.907339189572667</v>
      </c>
      <c r="CJ166" s="304">
        <f t="shared" si="205"/>
        <v>-2.0538440188731789E-2</v>
      </c>
    </row>
    <row r="167" spans="1:88" ht="18" customHeight="1" x14ac:dyDescent="0.25">
      <c r="A167" s="313" t="s">
        <v>275</v>
      </c>
      <c r="B167" s="302">
        <f>'FY 2016 by Agency'!B168*Inflator!$E$2</f>
        <v>0</v>
      </c>
      <c r="C167" s="302">
        <f>'FY 2016 by Agency'!C168*Inflator!$E$3</f>
        <v>0</v>
      </c>
      <c r="D167" s="302">
        <f t="shared" si="166"/>
        <v>0</v>
      </c>
      <c r="E167" s="302" t="s">
        <v>132</v>
      </c>
      <c r="F167" s="204">
        <f>'FY 2016 by Agency'!F168*Inflator!$E$4</f>
        <v>271.56223829463266</v>
      </c>
      <c r="G167" s="204">
        <f t="shared" si="167"/>
        <v>271.56223829463266</v>
      </c>
      <c r="H167" s="302" t="s">
        <v>132</v>
      </c>
      <c r="I167" s="204">
        <f>'FY 2016 by Agency'!I168*Inflator!$E$5</f>
        <v>272.00037188545929</v>
      </c>
      <c r="J167" s="204">
        <f t="shared" si="168"/>
        <v>0.43813359082662373</v>
      </c>
      <c r="K167" s="199">
        <f t="shared" si="169"/>
        <v>1.6133818662640007E-3</v>
      </c>
      <c r="L167" s="204">
        <f>'FY 2016 by Agency'!L168*Inflator!$E$6</f>
        <v>417.79607415485276</v>
      </c>
      <c r="M167" s="204">
        <f t="shared" si="170"/>
        <v>145.79570226939347</v>
      </c>
      <c r="N167" s="199">
        <f t="shared" si="171"/>
        <v>0.53601287843381618</v>
      </c>
      <c r="O167" s="204">
        <f>'FY 2016 by Agency'!O168*Inflator!$E$7</f>
        <v>445.14361140443498</v>
      </c>
      <c r="P167" s="204">
        <f t="shared" si="193"/>
        <v>27.347537249582217</v>
      </c>
      <c r="Q167" s="304">
        <f t="shared" si="208"/>
        <v>6.5456664007441281E-2</v>
      </c>
      <c r="R167" s="204">
        <f>'FY 2016 by Agency'!R168*Inflator!$E$8</f>
        <v>741.14663951120167</v>
      </c>
      <c r="S167" s="204">
        <f t="shared" si="172"/>
        <v>296.00302810676669</v>
      </c>
      <c r="T167" s="304">
        <f t="shared" si="209"/>
        <v>0.66496074642714198</v>
      </c>
      <c r="U167" s="204">
        <f>'FY 2016 by Agency'!U168*Inflator!$E$9</f>
        <v>972.42771883289117</v>
      </c>
      <c r="V167" s="204">
        <f t="shared" si="194"/>
        <v>231.2810793216895</v>
      </c>
      <c r="W167" s="304">
        <f t="shared" si="195"/>
        <v>0.31205846048795843</v>
      </c>
      <c r="X167" s="204">
        <f>'FY 2016 by Agency'!X168*Inflator!$E$10</f>
        <v>1064.0806605271516</v>
      </c>
      <c r="Y167" s="206">
        <f t="shared" si="196"/>
        <v>91.652941694260448</v>
      </c>
      <c r="Z167" s="304">
        <f t="shared" si="210"/>
        <v>9.4251675388544467E-2</v>
      </c>
      <c r="AA167" s="204">
        <f>'FY 2016 by Agency'!AA168*Inflator!$E$11</f>
        <v>1107.6441541892325</v>
      </c>
      <c r="AB167" s="206">
        <f t="shared" si="173"/>
        <v>43.563493662080873</v>
      </c>
      <c r="AC167" s="304">
        <f t="shared" si="174"/>
        <v>4.0940029527930029E-2</v>
      </c>
      <c r="AD167" s="204" t="e">
        <f>'FY 2016 by Agency'!AD168*Inflator!#REF!</f>
        <v>#REF!</v>
      </c>
      <c r="AE167" s="204">
        <f>'FY 2016 by Agency'!AE168*Inflator!$B$8</f>
        <v>0</v>
      </c>
      <c r="AF167" s="204">
        <f>'FY 2016 by Agency'!AF168*Inflator!$E$12</f>
        <v>980.89191729323318</v>
      </c>
      <c r="AG167" s="204">
        <f t="shared" si="175"/>
        <v>-126.75223689599932</v>
      </c>
      <c r="AH167" s="304">
        <f t="shared" si="176"/>
        <v>-0.11443407742153322</v>
      </c>
      <c r="AI167" s="204">
        <f>'FY 2016 by Agency'!AI168*Inflator!$B$8</f>
        <v>0</v>
      </c>
      <c r="AJ167" s="204">
        <f>'FY 2016 by Agency'!AJ168*Inflator!$B$8</f>
        <v>0</v>
      </c>
      <c r="AK167" s="204">
        <f>'FY 2016 by Agency'!AK168</f>
        <v>993</v>
      </c>
      <c r="AL167" s="204">
        <f>'FY 2016 by Agency'!AL168</f>
        <v>0</v>
      </c>
      <c r="AM167" s="204">
        <f>'FY 2016 by Agency'!AM168</f>
        <v>993</v>
      </c>
      <c r="AN167" s="204">
        <f>'FY 2016 by Agency'!AN168</f>
        <v>815</v>
      </c>
      <c r="AO167" s="204">
        <f>'FY 2016 by Agency'!AO168</f>
        <v>815</v>
      </c>
      <c r="AP167" s="204">
        <f>'FY 2016 by Agency'!AP168</f>
        <v>36</v>
      </c>
      <c r="AQ167" s="204">
        <f>'FY 2016 by Agency'!AQ168</f>
        <v>12</v>
      </c>
      <c r="AR167" s="204">
        <f>'FY 2016 by Agency'!AR168</f>
        <v>48</v>
      </c>
      <c r="AS167" s="204">
        <f>'FY 2016 by Agency'!AS168</f>
        <v>829.48931000000005</v>
      </c>
      <c r="AT167" s="204" t="e">
        <f t="shared" si="177"/>
        <v>#REF!</v>
      </c>
      <c r="AU167" s="304" t="e">
        <f t="shared" si="178"/>
        <v>#REF!</v>
      </c>
      <c r="AV167" s="204">
        <f t="shared" si="179"/>
        <v>-151.40260729323313</v>
      </c>
      <c r="AW167" s="304">
        <f t="shared" si="180"/>
        <v>-0.15435197764808578</v>
      </c>
      <c r="AX167" s="410" t="s">
        <v>455</v>
      </c>
      <c r="AY167" s="200">
        <v>815</v>
      </c>
      <c r="AZ167" s="200">
        <f t="shared" si="181"/>
        <v>0</v>
      </c>
      <c r="BA167" s="200">
        <f t="shared" si="182"/>
        <v>-151.40260729323313</v>
      </c>
      <c r="BB167" s="200">
        <f t="shared" si="183"/>
        <v>829.48931000000005</v>
      </c>
      <c r="BC167" s="304">
        <f t="shared" si="184"/>
        <v>-0.15435197764808573</v>
      </c>
      <c r="BD167" s="306">
        <v>31.093</v>
      </c>
      <c r="BE167" s="199">
        <f t="shared" si="212"/>
        <v>3.8150920245398776E-2</v>
      </c>
      <c r="BF167" s="66">
        <v>31</v>
      </c>
      <c r="BI167" s="200">
        <v>776</v>
      </c>
      <c r="BJ167" s="200">
        <f t="shared" si="197"/>
        <v>-39</v>
      </c>
      <c r="BK167" s="200">
        <f t="shared" si="198"/>
        <v>824</v>
      </c>
      <c r="BL167" s="307">
        <f>'FY 2016 by Agency'!BB168*Inflator!$E$13</f>
        <v>859.2328300061032</v>
      </c>
      <c r="BM167" s="204">
        <f t="shared" si="199"/>
        <v>-121.65908728712998</v>
      </c>
      <c r="BN167" s="199">
        <f t="shared" si="200"/>
        <v>-0.1240290445280125</v>
      </c>
      <c r="BO167" s="204">
        <f>'FY 2016 by Agency'!AX168*Inflator!$E$13</f>
        <v>853.19743667989007</v>
      </c>
      <c r="BP167" s="204">
        <f t="shared" si="185"/>
        <v>-127.6944806133431</v>
      </c>
      <c r="BQ167" s="304">
        <f t="shared" si="186"/>
        <v>-0.13018200921230491</v>
      </c>
      <c r="BR167" s="204">
        <f>'FY 2016 by Agency'!BE168*Inflator!$E$14</f>
        <v>818.08283671036941</v>
      </c>
      <c r="BS167" s="204">
        <f t="shared" si="187"/>
        <v>-35.114599969520668</v>
      </c>
      <c r="BT167" s="304">
        <f t="shared" si="188"/>
        <v>-4.1156476168241543E-2</v>
      </c>
      <c r="BU167" s="204">
        <f>'FY 2016 by Agency'!BL168*Inflator!$E$14</f>
        <v>856.73241954707976</v>
      </c>
      <c r="BV167" s="204">
        <f t="shared" si="201"/>
        <v>-2.5004104590234419</v>
      </c>
      <c r="BW167" s="309">
        <v>780</v>
      </c>
      <c r="BX167" s="206">
        <f>'FY 2016 by Agency'!BW168*Inflator!E15</f>
        <v>860.87510993843443</v>
      </c>
      <c r="BY167" s="204">
        <f>'FY 2016 by Agency'!BZ168*Inflator!$E$15</f>
        <v>829.18645558487242</v>
      </c>
      <c r="BZ167" s="206">
        <f t="shared" si="189"/>
        <v>-38.082836710369406</v>
      </c>
      <c r="CA167" s="199">
        <f t="shared" si="190"/>
        <v>-4.6551320968309343E-2</v>
      </c>
      <c r="CB167" s="308">
        <f>'FY 2016 by Agency'!CF168*Inflator!$E$16</f>
        <v>902.05053421888533</v>
      </c>
      <c r="CC167" s="206">
        <f t="shared" si="191"/>
        <v>72.864078634012913</v>
      </c>
      <c r="CD167" s="304">
        <f t="shared" si="192"/>
        <v>8.7874178531555644E-2</v>
      </c>
      <c r="CE167" s="206">
        <f>'FY 2016 by Agency'!CK168*Inflator!$E$17</f>
        <v>962.77387361858894</v>
      </c>
      <c r="CF167" s="206">
        <f t="shared" si="202"/>
        <v>60.723339399703605</v>
      </c>
      <c r="CG167" s="562">
        <f t="shared" si="203"/>
        <v>6.731700397726155E-2</v>
      </c>
      <c r="CH167" s="753">
        <f>'FY 2016 by Agency'!CN168*Inflator!$E$18</f>
        <v>835</v>
      </c>
      <c r="CI167" s="753">
        <f t="shared" si="204"/>
        <v>-127.77387361858894</v>
      </c>
      <c r="CJ167" s="304">
        <f t="shared" si="205"/>
        <v>-0.13271431342268397</v>
      </c>
    </row>
    <row r="168" spans="1:88" ht="18" customHeight="1" x14ac:dyDescent="0.25">
      <c r="A168" s="313" t="s">
        <v>276</v>
      </c>
      <c r="B168" s="302">
        <f>'FY 2016 by Agency'!B169*Inflator!$E$2</f>
        <v>0</v>
      </c>
      <c r="C168" s="302">
        <f>'FY 2016 by Agency'!C169*Inflator!$E$3</f>
        <v>0</v>
      </c>
      <c r="D168" s="302">
        <f t="shared" si="166"/>
        <v>0</v>
      </c>
      <c r="E168" s="302" t="s">
        <v>132</v>
      </c>
      <c r="F168" s="204">
        <f>'FY 2016 by Agency'!F169*Inflator!$E$4</f>
        <v>235.9025504377617</v>
      </c>
      <c r="G168" s="204">
        <f t="shared" si="167"/>
        <v>235.9025504377617</v>
      </c>
      <c r="H168" s="302" t="s">
        <v>132</v>
      </c>
      <c r="I168" s="204">
        <f>'FY 2016 by Agency'!I169*Inflator!$E$5</f>
        <v>313.53737448865752</v>
      </c>
      <c r="J168" s="204">
        <f t="shared" si="168"/>
        <v>77.634824050895816</v>
      </c>
      <c r="K168" s="199">
        <f t="shared" si="169"/>
        <v>0.32909701021387749</v>
      </c>
      <c r="L168" s="204">
        <f>'FY 2016 by Agency'!L169*Inflator!$E$6</f>
        <v>303.85169029443841</v>
      </c>
      <c r="M168" s="204">
        <f t="shared" si="170"/>
        <v>-9.6856841942191068</v>
      </c>
      <c r="N168" s="199">
        <f t="shared" si="171"/>
        <v>-3.0891641578664475E-2</v>
      </c>
      <c r="O168" s="204">
        <f>'FY 2016 by Agency'!O169*Inflator!$E$7</f>
        <v>295.49419218585001</v>
      </c>
      <c r="P168" s="204">
        <f t="shared" si="193"/>
        <v>-8.3574981085884019</v>
      </c>
      <c r="Q168" s="304">
        <f t="shared" si="208"/>
        <v>-2.7505188799475881E-2</v>
      </c>
      <c r="R168" s="204">
        <f>'FY 2016 by Agency'!R169*Inflator!$E$8</f>
        <v>325.32179226069246</v>
      </c>
      <c r="S168" s="204">
        <f t="shared" si="172"/>
        <v>29.827600074842451</v>
      </c>
      <c r="T168" s="304">
        <f t="shared" si="209"/>
        <v>0.10094140887913793</v>
      </c>
      <c r="U168" s="204">
        <f>'FY 2016 by Agency'!U169*Inflator!$E$9</f>
        <v>365.55636604774531</v>
      </c>
      <c r="V168" s="204">
        <f t="shared" si="194"/>
        <v>40.234573787052852</v>
      </c>
      <c r="W168" s="304">
        <f t="shared" si="195"/>
        <v>0.12367623302287536</v>
      </c>
      <c r="X168" s="204">
        <f>'FY 2016 by Agency'!X169*Inflator!$E$10</f>
        <v>337.53096221022548</v>
      </c>
      <c r="Y168" s="206">
        <f t="shared" si="196"/>
        <v>-28.025403837519832</v>
      </c>
      <c r="Z168" s="304">
        <f t="shared" si="210"/>
        <v>-7.6665068483199206E-2</v>
      </c>
      <c r="AA168" s="204">
        <f>'FY 2016 by Agency'!AA169*Inflator!$E$11</f>
        <v>530.29181267919728</v>
      </c>
      <c r="AB168" s="206">
        <f t="shared" si="173"/>
        <v>192.7608504689718</v>
      </c>
      <c r="AC168" s="304">
        <f t="shared" si="174"/>
        <v>0.57109086883980131</v>
      </c>
      <c r="AD168" s="204" t="e">
        <f>'FY 2016 by Agency'!AD169*Inflator!#REF!</f>
        <v>#REF!</v>
      </c>
      <c r="AE168" s="204">
        <f>'FY 2016 by Agency'!AE169*Inflator!$B$8</f>
        <v>0</v>
      </c>
      <c r="AF168" s="204">
        <f>'FY 2016 by Agency'!AF169*Inflator!$E$12</f>
        <v>477.46522556390983</v>
      </c>
      <c r="AG168" s="204">
        <f t="shared" si="175"/>
        <v>-52.826587115287452</v>
      </c>
      <c r="AH168" s="304">
        <f t="shared" si="176"/>
        <v>-9.9617957230739226E-2</v>
      </c>
      <c r="AI168" s="204">
        <f>'FY 2016 by Agency'!AI169*Inflator!$B$8</f>
        <v>0</v>
      </c>
      <c r="AJ168" s="204">
        <f>'FY 2016 by Agency'!AJ169*Inflator!$B$8</f>
        <v>0</v>
      </c>
      <c r="AK168" s="204">
        <f>'FY 2016 by Agency'!AK169</f>
        <v>480</v>
      </c>
      <c r="AL168" s="204">
        <f>'FY 2016 by Agency'!AL169</f>
        <v>0</v>
      </c>
      <c r="AM168" s="204">
        <f>'FY 2016 by Agency'!AM169</f>
        <v>480</v>
      </c>
      <c r="AN168" s="204">
        <f>'FY 2016 by Agency'!AN169</f>
        <v>392</v>
      </c>
      <c r="AO168" s="204">
        <f>'FY 2016 by Agency'!AO169</f>
        <v>392</v>
      </c>
      <c r="AP168" s="204">
        <f>'FY 2016 by Agency'!AP169</f>
        <v>20</v>
      </c>
      <c r="AQ168" s="204">
        <f>'FY 2016 by Agency'!AQ169</f>
        <v>9</v>
      </c>
      <c r="AR168" s="204">
        <f>'FY 2016 by Agency'!AR169</f>
        <v>29</v>
      </c>
      <c r="AS168" s="204">
        <f>'FY 2016 by Agency'!AS169</f>
        <v>395.33764000000002</v>
      </c>
      <c r="AT168" s="204" t="e">
        <f t="shared" si="177"/>
        <v>#REF!</v>
      </c>
      <c r="AU168" s="304" t="e">
        <f t="shared" si="178"/>
        <v>#REF!</v>
      </c>
      <c r="AV168" s="204">
        <f t="shared" si="179"/>
        <v>-82.127585563909804</v>
      </c>
      <c r="AW168" s="304">
        <f t="shared" si="180"/>
        <v>-0.17200747021296284</v>
      </c>
      <c r="AX168" s="410" t="s">
        <v>456</v>
      </c>
      <c r="AY168" s="200">
        <v>392</v>
      </c>
      <c r="AZ168" s="200">
        <f t="shared" si="181"/>
        <v>0</v>
      </c>
      <c r="BA168" s="200">
        <f t="shared" si="182"/>
        <v>-82.127585563909804</v>
      </c>
      <c r="BB168" s="200">
        <f t="shared" si="183"/>
        <v>395.33764000000002</v>
      </c>
      <c r="BC168" s="304">
        <f t="shared" si="184"/>
        <v>-0.17200747021296281</v>
      </c>
      <c r="BD168" s="306">
        <v>7.3860000000000001</v>
      </c>
      <c r="BE168" s="199">
        <f t="shared" si="212"/>
        <v>1.8841836734693879E-2</v>
      </c>
      <c r="BI168" s="200">
        <v>379</v>
      </c>
      <c r="BJ168" s="200">
        <f t="shared" si="197"/>
        <v>-13</v>
      </c>
      <c r="BK168" s="200">
        <f t="shared" si="198"/>
        <v>408</v>
      </c>
      <c r="BL168" s="307">
        <f>'FY 2016 by Agency'!BB169*Inflator!$E$13</f>
        <v>402.78136006103142</v>
      </c>
      <c r="BM168" s="204">
        <f t="shared" si="199"/>
        <v>-74.683865502878405</v>
      </c>
      <c r="BN168" s="199">
        <f t="shared" si="200"/>
        <v>-0.15641739231306973</v>
      </c>
      <c r="BO168" s="204">
        <f>'FY 2016 by Agency'!AX169*Inflator!$E$13</f>
        <v>416.70338724443087</v>
      </c>
      <c r="BP168" s="204">
        <f t="shared" si="185"/>
        <v>-60.761838319478954</v>
      </c>
      <c r="BQ168" s="304">
        <f t="shared" si="186"/>
        <v>-0.12725919096561691</v>
      </c>
      <c r="BR168" s="204">
        <f>'FY 2016 by Agency'!BE169*Inflator!$E$14</f>
        <v>372.53903456495823</v>
      </c>
      <c r="BS168" s="204">
        <f t="shared" si="187"/>
        <v>-44.164352679472643</v>
      </c>
      <c r="BT168" s="304">
        <f t="shared" si="188"/>
        <v>-0.10598510602834771</v>
      </c>
      <c r="BU168" s="204">
        <f>'FY 2016 by Agency'!BL169*Inflator!$E$14</f>
        <v>396.15822407628127</v>
      </c>
      <c r="BV168" s="204">
        <f t="shared" si="201"/>
        <v>-6.6231359847501494</v>
      </c>
      <c r="BW168" s="309">
        <v>394</v>
      </c>
      <c r="BX168" s="206">
        <f>'FY 2016 by Agency'!BW211*Inflator!E15</f>
        <v>5281.4423922603337</v>
      </c>
      <c r="BY168" s="204">
        <f>'FY 2016 by Agency'!BZ169*Inflator!$E$15</f>
        <v>386.60158311345646</v>
      </c>
      <c r="BZ168" s="206">
        <f t="shared" si="189"/>
        <v>21.460965435041771</v>
      </c>
      <c r="CA168" s="199">
        <f t="shared" si="190"/>
        <v>5.7607293313849249E-2</v>
      </c>
      <c r="CB168" s="308">
        <f>'FY 2016 by Agency'!CF169*Inflator!$E$16</f>
        <v>422.41351429396474</v>
      </c>
      <c r="CC168" s="206">
        <f t="shared" si="191"/>
        <v>35.811931180508282</v>
      </c>
      <c r="CD168" s="304">
        <f t="shared" si="192"/>
        <v>9.263265528325193E-2</v>
      </c>
      <c r="CE168" s="206">
        <f>'FY 2016 by Agency'!CK169*Inflator!$E$17</f>
        <v>424.72315103428741</v>
      </c>
      <c r="CF168" s="206">
        <f t="shared" si="202"/>
        <v>2.3096367403226736</v>
      </c>
      <c r="CG168" s="562">
        <f t="shared" si="203"/>
        <v>5.4677150757903026E-3</v>
      </c>
      <c r="CH168" s="753">
        <f>'FY 2016 by Agency'!CN169*Inflator!$E$18</f>
        <v>419</v>
      </c>
      <c r="CI168" s="753">
        <f t="shared" si="204"/>
        <v>-5.7231510342874117</v>
      </c>
      <c r="CJ168" s="304">
        <f t="shared" si="205"/>
        <v>-1.3475015478554378E-2</v>
      </c>
    </row>
    <row r="169" spans="1:88" ht="18" customHeight="1" x14ac:dyDescent="0.25">
      <c r="A169" s="317" t="s">
        <v>277</v>
      </c>
      <c r="B169" s="302" t="s">
        <v>132</v>
      </c>
      <c r="C169" s="302" t="s">
        <v>132</v>
      </c>
      <c r="D169" s="302" t="s">
        <v>132</v>
      </c>
      <c r="E169" s="302" t="s">
        <v>132</v>
      </c>
      <c r="F169" s="302" t="s">
        <v>132</v>
      </c>
      <c r="G169" s="302" t="s">
        <v>132</v>
      </c>
      <c r="H169" s="302" t="s">
        <v>132</v>
      </c>
      <c r="I169" s="302" t="s">
        <v>132</v>
      </c>
      <c r="J169" s="302" t="s">
        <v>132</v>
      </c>
      <c r="K169" s="302" t="s">
        <v>132</v>
      </c>
      <c r="L169" s="204">
        <f>'FY 2016 by Agency'!L170*Inflator!$E$6</f>
        <v>50373.895310796077</v>
      </c>
      <c r="M169" s="310" t="s">
        <v>132</v>
      </c>
      <c r="N169" s="310" t="s">
        <v>132</v>
      </c>
      <c r="O169" s="204">
        <f>'FY 2016 by Agency'!O170*Inflator!$E$7</f>
        <v>64289.644139387528</v>
      </c>
      <c r="P169" s="204">
        <f t="shared" si="193"/>
        <v>13915.748828591451</v>
      </c>
      <c r="Q169" s="394" t="s">
        <v>132</v>
      </c>
      <c r="R169" s="204">
        <f>'FY 2016 by Agency'!R170*Inflator!$E$8</f>
        <v>83356.982688391043</v>
      </c>
      <c r="S169" s="315">
        <f t="shared" si="172"/>
        <v>19067.338549003514</v>
      </c>
      <c r="T169" s="304">
        <f t="shared" si="209"/>
        <v>0.29658491354631356</v>
      </c>
      <c r="U169" s="204">
        <f>'FY 2016 by Agency'!U170*Inflator!$E$9</f>
        <v>88326.063660477448</v>
      </c>
      <c r="V169" s="204">
        <f t="shared" si="194"/>
        <v>4969.0809720864054</v>
      </c>
      <c r="W169" s="304">
        <f t="shared" si="195"/>
        <v>5.9612054225403714E-2</v>
      </c>
      <c r="X169" s="204">
        <f>'FY 2016 by Agency'!X170*Inflator!$E$10</f>
        <v>96640.263258177205</v>
      </c>
      <c r="Y169" s="206">
        <f t="shared" si="196"/>
        <v>8314.1995976997569</v>
      </c>
      <c r="Z169" s="304">
        <f t="shared" si="210"/>
        <v>9.4130761104211244E-2</v>
      </c>
      <c r="AA169" s="204">
        <f>'FY 2016 by Agency'!AA170*Inflator!$E$11</f>
        <v>93137.377827333563</v>
      </c>
      <c r="AB169" s="206">
        <f t="shared" si="173"/>
        <v>-3502.8854308436421</v>
      </c>
      <c r="AC169" s="304">
        <f t="shared" si="174"/>
        <v>-3.624664619844406E-2</v>
      </c>
      <c r="AD169" s="204" t="e">
        <f>'FY 2016 by Agency'!AD170*Inflator!#REF!</f>
        <v>#REF!</v>
      </c>
      <c r="AE169" s="204">
        <f>'FY 2016 by Agency'!AE170*Inflator!$B$8</f>
        <v>0</v>
      </c>
      <c r="AF169" s="204">
        <f>'FY 2016 by Agency'!AF170*Inflator!$E$12</f>
        <v>109507.7218045113</v>
      </c>
      <c r="AG169" s="204">
        <f t="shared" si="175"/>
        <v>16370.343977177734</v>
      </c>
      <c r="AH169" s="304">
        <f t="shared" si="176"/>
        <v>0.17576556651107944</v>
      </c>
      <c r="AI169" s="204">
        <f>'FY 2016 by Agency'!AI170*Inflator!$B$8</f>
        <v>0</v>
      </c>
      <c r="AJ169" s="204">
        <f>'FY 2016 by Agency'!AJ170*Inflator!$B$8</f>
        <v>0</v>
      </c>
      <c r="AK169" s="204">
        <f>'FY 2016 by Agency'!AK170</f>
        <v>97865</v>
      </c>
      <c r="AL169" s="204">
        <f>'FY 2016 by Agency'!AL170</f>
        <v>0</v>
      </c>
      <c r="AM169" s="204">
        <f>'FY 2016 by Agency'!AM170</f>
        <v>97865</v>
      </c>
      <c r="AN169" s="204">
        <f>'FY 2016 by Agency'!AN170</f>
        <v>90553</v>
      </c>
      <c r="AO169" s="204">
        <f>'FY 2016 by Agency'!AO170</f>
        <v>90553</v>
      </c>
      <c r="AP169" s="204">
        <f>'FY 2016 by Agency'!AP170</f>
        <v>2402</v>
      </c>
      <c r="AQ169" s="204">
        <f>'FY 2016 by Agency'!AQ170</f>
        <v>460</v>
      </c>
      <c r="AR169" s="204">
        <f>'FY 2016 by Agency'!AR170</f>
        <v>2862</v>
      </c>
      <c r="AS169" s="204">
        <f>'FY 2016 by Agency'!AS170</f>
        <v>99926.359840000005</v>
      </c>
      <c r="AT169" s="204" t="e">
        <f t="shared" si="177"/>
        <v>#REF!</v>
      </c>
      <c r="AU169" s="304" t="e">
        <f t="shared" si="178"/>
        <v>#REF!</v>
      </c>
      <c r="AV169" s="204">
        <f t="shared" si="179"/>
        <v>-9581.3619645112922</v>
      </c>
      <c r="AW169" s="304">
        <f t="shared" si="180"/>
        <v>-8.7494852478216534E-2</v>
      </c>
      <c r="AX169" s="305" t="s">
        <v>457</v>
      </c>
      <c r="AY169" s="200">
        <v>90553</v>
      </c>
      <c r="AZ169" s="200">
        <f t="shared" si="181"/>
        <v>0</v>
      </c>
      <c r="BA169" s="200">
        <f t="shared" si="182"/>
        <v>-9581.3619645112922</v>
      </c>
      <c r="BB169" s="200">
        <f t="shared" si="183"/>
        <v>99926.359840000005</v>
      </c>
      <c r="BC169" s="304">
        <f t="shared" si="184"/>
        <v>-8.7494852478216534E-2</v>
      </c>
      <c r="BD169" s="306">
        <v>4622.8180000000002</v>
      </c>
      <c r="BE169" s="199">
        <f t="shared" si="212"/>
        <v>5.1050964628449637E-2</v>
      </c>
      <c r="BI169" s="200">
        <v>90311</v>
      </c>
      <c r="BJ169" s="200">
        <f t="shared" si="197"/>
        <v>-242</v>
      </c>
      <c r="BK169" s="200">
        <f t="shared" si="198"/>
        <v>93173</v>
      </c>
      <c r="BL169" s="307">
        <f>'FY 2016 by Agency'!BB170*Inflator!$E$13</f>
        <v>106720.44202121453</v>
      </c>
      <c r="BM169" s="204">
        <f t="shared" si="199"/>
        <v>-2787.2797832967626</v>
      </c>
      <c r="BN169" s="199">
        <f t="shared" si="200"/>
        <v>-2.5452814992101655E-2</v>
      </c>
      <c r="BO169" s="204">
        <f>'FY 2016 by Agency'!AX170*Inflator!$E$13</f>
        <v>108530.89197436679</v>
      </c>
      <c r="BP169" s="204">
        <f t="shared" si="185"/>
        <v>-976.82983014450292</v>
      </c>
      <c r="BQ169" s="304">
        <f t="shared" si="186"/>
        <v>-8.9201913257614795E-3</v>
      </c>
      <c r="BR169" s="204">
        <f>'FY 2016 by Agency'!BE170*Inflator!$E$14</f>
        <v>113190.67133492252</v>
      </c>
      <c r="BS169" s="204">
        <f t="shared" si="187"/>
        <v>4659.7793605557235</v>
      </c>
      <c r="BT169" s="304">
        <f t="shared" si="188"/>
        <v>4.2935050802459879E-2</v>
      </c>
      <c r="BU169" s="204">
        <f>'FY 2016 by Agency'!BL170*Inflator!$E$14</f>
        <v>115701.82061978545</v>
      </c>
      <c r="BV169" s="204">
        <f t="shared" si="201"/>
        <v>8981.378598570911</v>
      </c>
      <c r="BW169" s="309">
        <v>106384</v>
      </c>
      <c r="BX169" s="206">
        <f>'FY 2016 by Agency'!BW170*Inflator!E15</f>
        <v>115102.69920844326</v>
      </c>
      <c r="BY169" s="204">
        <f>'FY 2016 by Agency'!BZ170*Inflator!$E$15</f>
        <v>105824.26121372031</v>
      </c>
      <c r="BZ169" s="206">
        <f t="shared" si="189"/>
        <v>-6806.6713349225174</v>
      </c>
      <c r="CA169" s="199">
        <f t="shared" si="190"/>
        <v>-6.0134561043304523E-2</v>
      </c>
      <c r="CB169" s="308">
        <f>'FY 2016 by Agency'!CF170*Inflator!$E$16</f>
        <v>103861.70314755991</v>
      </c>
      <c r="CC169" s="206">
        <f t="shared" si="191"/>
        <v>-1962.5580661604035</v>
      </c>
      <c r="CD169" s="304">
        <f t="shared" si="192"/>
        <v>-1.8545445473952944E-2</v>
      </c>
      <c r="CE169" s="206">
        <f>'FY 2016 by Agency'!CK170*Inflator!$E$17</f>
        <v>108119.60810427884</v>
      </c>
      <c r="CF169" s="206">
        <f t="shared" si="202"/>
        <v>4257.9049567189359</v>
      </c>
      <c r="CG169" s="562">
        <f t="shared" si="203"/>
        <v>4.0995909249336909E-2</v>
      </c>
      <c r="CH169" s="753">
        <f>'FY 2016 by Agency'!CN170*Inflator!$E$18</f>
        <v>106019</v>
      </c>
      <c r="CI169" s="753">
        <f t="shared" si="204"/>
        <v>-2100.6081042788428</v>
      </c>
      <c r="CJ169" s="304">
        <f t="shared" si="205"/>
        <v>-1.9428558252383373E-2</v>
      </c>
    </row>
    <row r="170" spans="1:88" ht="18" customHeight="1" x14ac:dyDescent="0.25">
      <c r="A170" s="317" t="s">
        <v>278</v>
      </c>
      <c r="B170" s="302" t="s">
        <v>132</v>
      </c>
      <c r="C170" s="302" t="s">
        <v>132</v>
      </c>
      <c r="D170" s="302" t="s">
        <v>132</v>
      </c>
      <c r="E170" s="302" t="s">
        <v>132</v>
      </c>
      <c r="F170" s="302" t="s">
        <v>132</v>
      </c>
      <c r="G170" s="302" t="s">
        <v>132</v>
      </c>
      <c r="H170" s="302" t="s">
        <v>132</v>
      </c>
      <c r="I170" s="302" t="s">
        <v>132</v>
      </c>
      <c r="J170" s="302" t="s">
        <v>132</v>
      </c>
      <c r="K170" s="302" t="s">
        <v>132</v>
      </c>
      <c r="L170" s="204">
        <f>'FY 2016 by Agency'!L171*Inflator!$E$6</f>
        <v>31050.499454743731</v>
      </c>
      <c r="M170" s="310" t="s">
        <v>132</v>
      </c>
      <c r="N170" s="310" t="s">
        <v>132</v>
      </c>
      <c r="O170" s="204">
        <f>'FY 2016 by Agency'!O171*Inflator!$E$7</f>
        <v>26523.457233368528</v>
      </c>
      <c r="P170" s="204">
        <f t="shared" si="193"/>
        <v>-4527.0422213752026</v>
      </c>
      <c r="Q170" s="394" t="s">
        <v>132</v>
      </c>
      <c r="R170" s="204">
        <f>'FY 2016 by Agency'!R171*Inflator!$E$8</f>
        <v>88404.362525458258</v>
      </c>
      <c r="S170" s="315">
        <f t="shared" si="172"/>
        <v>61880.90529208973</v>
      </c>
      <c r="T170" s="394" t="s">
        <v>132</v>
      </c>
      <c r="U170" s="204">
        <f>'FY 2016 by Agency'!U171*Inflator!$E$9</f>
        <v>99222.27155172413</v>
      </c>
      <c r="V170" s="204">
        <f t="shared" si="194"/>
        <v>10817.909026265872</v>
      </c>
      <c r="W170" s="394" t="s">
        <v>132</v>
      </c>
      <c r="X170" s="204">
        <f>'FY 2016 by Agency'!X171*Inflator!$E$10</f>
        <v>98410.298507462692</v>
      </c>
      <c r="Y170" s="206">
        <f t="shared" si="196"/>
        <v>-811.97304426143819</v>
      </c>
      <c r="Z170" s="311" t="s">
        <v>405</v>
      </c>
      <c r="AA170" s="204">
        <f>'FY 2016 by Agency'!AA171*Inflator!$E$11</f>
        <v>108894.62026122971</v>
      </c>
      <c r="AB170" s="206">
        <f t="shared" si="173"/>
        <v>10484.321753767013</v>
      </c>
      <c r="AC170" s="304">
        <f t="shared" si="174"/>
        <v>0.10653683519689722</v>
      </c>
      <c r="AD170" s="204" t="e">
        <f>'FY 2016 by Agency'!AD171*Inflator!#REF!</f>
        <v>#REF!</v>
      </c>
      <c r="AE170" s="204">
        <f>'FY 2016 by Agency'!AE171*Inflator!$B$8</f>
        <v>0</v>
      </c>
      <c r="AF170" s="204">
        <f>'FY 2016 by Agency'!AF171*Inflator!$E$12</f>
        <v>73258.742481203022</v>
      </c>
      <c r="AG170" s="204">
        <f t="shared" si="175"/>
        <v>-35635.877780026683</v>
      </c>
      <c r="AH170" s="304">
        <f t="shared" si="176"/>
        <v>-0.32725104045120862</v>
      </c>
      <c r="AI170" s="204">
        <f>'FY 2016 by Agency'!AI171*Inflator!$B$8</f>
        <v>0</v>
      </c>
      <c r="AJ170" s="204">
        <f>'FY 2016 by Agency'!AJ171*Inflator!$B$8</f>
        <v>0</v>
      </c>
      <c r="AK170" s="204">
        <f>'FY 2016 by Agency'!AK171</f>
        <v>64937</v>
      </c>
      <c r="AL170" s="204">
        <f>'FY 2016 by Agency'!AL171</f>
        <v>100</v>
      </c>
      <c r="AM170" s="204">
        <f>'FY 2016 by Agency'!AM171</f>
        <v>65037</v>
      </c>
      <c r="AN170" s="204">
        <f>'FY 2016 by Agency'!AN171</f>
        <v>56715</v>
      </c>
      <c r="AO170" s="204">
        <f>'FY 2016 by Agency'!AO171</f>
        <v>62915</v>
      </c>
      <c r="AP170" s="204">
        <f>'FY 2016 by Agency'!AP171</f>
        <v>0</v>
      </c>
      <c r="AQ170" s="204">
        <f>'FY 2016 by Agency'!AQ171</f>
        <v>179</v>
      </c>
      <c r="AR170" s="204">
        <f>'FY 2016 by Agency'!AR171</f>
        <v>179</v>
      </c>
      <c r="AS170" s="204">
        <f>'FY 2016 by Agency'!AS171</f>
        <v>58890.613149999997</v>
      </c>
      <c r="AT170" s="204" t="e">
        <f t="shared" si="177"/>
        <v>#REF!</v>
      </c>
      <c r="AU170" s="304" t="e">
        <f t="shared" si="178"/>
        <v>#REF!</v>
      </c>
      <c r="AV170" s="204">
        <f t="shared" si="179"/>
        <v>-14368.129331203025</v>
      </c>
      <c r="AW170" s="304">
        <f t="shared" si="180"/>
        <v>-0.19612852807144004</v>
      </c>
      <c r="AX170" s="431" t="s">
        <v>458</v>
      </c>
      <c r="AY170" s="200">
        <v>62913</v>
      </c>
      <c r="AZ170" s="200">
        <f t="shared" si="181"/>
        <v>-2</v>
      </c>
      <c r="BA170" s="200">
        <f t="shared" si="182"/>
        <v>-14370.129331203025</v>
      </c>
      <c r="BB170" s="200">
        <f t="shared" si="183"/>
        <v>58888.613149999997</v>
      </c>
      <c r="BC170" s="304">
        <f t="shared" si="184"/>
        <v>-0.19615582856735714</v>
      </c>
      <c r="BD170" s="306">
        <v>3597.6959999999999</v>
      </c>
      <c r="BE170" s="199">
        <f t="shared" si="212"/>
        <v>5.7185255829478802E-2</v>
      </c>
      <c r="BF170" s="66">
        <v>3195</v>
      </c>
      <c r="BI170" s="200">
        <v>59544</v>
      </c>
      <c r="BJ170" s="200">
        <f t="shared" si="197"/>
        <v>-3369</v>
      </c>
      <c r="BK170" s="200">
        <f t="shared" si="198"/>
        <v>59723</v>
      </c>
      <c r="BL170" s="307">
        <f>'FY 2016 by Agency'!BB171*Inflator!$E$13</f>
        <v>64552.31680788831</v>
      </c>
      <c r="BM170" s="204">
        <f t="shared" si="199"/>
        <v>-8706.4256733147122</v>
      </c>
      <c r="BN170" s="199">
        <f t="shared" si="200"/>
        <v>-0.11884486927343363</v>
      </c>
      <c r="BO170" s="204">
        <f>'FY 2016 by Agency'!AX171*Inflator!$E$13</f>
        <v>65467.510527921877</v>
      </c>
      <c r="BP170" s="204">
        <f t="shared" si="185"/>
        <v>-7791.2319532811453</v>
      </c>
      <c r="BQ170" s="304">
        <f t="shared" si="186"/>
        <v>-0.10635224806486743</v>
      </c>
      <c r="BR170" s="204">
        <f>'FY 2016 by Agency'!BE171*Inflator!$E$14</f>
        <v>67880.477056019066</v>
      </c>
      <c r="BS170" s="204">
        <f t="shared" si="187"/>
        <v>2412.9665280971894</v>
      </c>
      <c r="BT170" s="304">
        <f t="shared" si="188"/>
        <v>3.6857465766443949E-2</v>
      </c>
      <c r="BU170" s="204">
        <f>'FY 2016 by Agency'!BL171*Inflator!$E$14</f>
        <v>67880.477056019066</v>
      </c>
      <c r="BV170" s="204">
        <f t="shared" si="201"/>
        <v>3328.1602481307564</v>
      </c>
      <c r="BW170" s="206">
        <v>61276</v>
      </c>
      <c r="BX170" s="206">
        <f>'FY 2016 by Agency'!BW171*Inflator!E15</f>
        <v>71489.604221635876</v>
      </c>
      <c r="BY170" s="204">
        <f>'FY 2016 by Agency'!BZ171*Inflator!$E$15</f>
        <v>62547.065963060682</v>
      </c>
      <c r="BZ170" s="206">
        <f t="shared" si="189"/>
        <v>-6604.4770560190664</v>
      </c>
      <c r="CA170" s="199">
        <f t="shared" si="190"/>
        <v>-9.7295678263555119E-2</v>
      </c>
      <c r="CB170" s="308">
        <f>'FY 2016 by Agency'!CF171*Inflator!$E$16</f>
        <v>64257.835114062946</v>
      </c>
      <c r="CC170" s="206">
        <f t="shared" si="191"/>
        <v>1710.7691510022632</v>
      </c>
      <c r="CD170" s="304">
        <f t="shared" si="192"/>
        <v>2.7351709063581284E-2</v>
      </c>
      <c r="CE170" s="206">
        <f>'FY 2016 by Agency'!CK171*Inflator!$E$17</f>
        <v>126069.26608104281</v>
      </c>
      <c r="CF170" s="206">
        <f t="shared" si="202"/>
        <v>61811.43096697986</v>
      </c>
      <c r="CG170" s="562">
        <f t="shared" si="203"/>
        <v>0.96192831360190523</v>
      </c>
      <c r="CH170" s="753">
        <f>'FY 2016 by Agency'!CN171*Inflator!$E$18</f>
        <v>124988</v>
      </c>
      <c r="CI170" s="753">
        <f t="shared" si="204"/>
        <v>-1081.266081042806</v>
      </c>
      <c r="CJ170" s="304">
        <f t="shared" si="205"/>
        <v>-8.576761923462942E-3</v>
      </c>
    </row>
    <row r="171" spans="1:88" s="317" customFormat="1" ht="18" customHeight="1" x14ac:dyDescent="0.25">
      <c r="A171" s="317" t="s">
        <v>279</v>
      </c>
      <c r="B171" s="302" t="s">
        <v>132</v>
      </c>
      <c r="C171" s="302" t="s">
        <v>132</v>
      </c>
      <c r="D171" s="302" t="s">
        <v>132</v>
      </c>
      <c r="E171" s="302" t="s">
        <v>132</v>
      </c>
      <c r="F171" s="302" t="s">
        <v>132</v>
      </c>
      <c r="G171" s="302" t="s">
        <v>132</v>
      </c>
      <c r="H171" s="302" t="s">
        <v>132</v>
      </c>
      <c r="I171" s="302" t="s">
        <v>132</v>
      </c>
      <c r="J171" s="302" t="s">
        <v>132</v>
      </c>
      <c r="K171" s="302" t="s">
        <v>132</v>
      </c>
      <c r="L171" s="315">
        <f>'FY 2016 by Agency'!L172*Inflator!$E$6</f>
        <v>566464.68157033809</v>
      </c>
      <c r="M171" s="416" t="s">
        <v>132</v>
      </c>
      <c r="N171" s="416" t="s">
        <v>132</v>
      </c>
      <c r="O171" s="315"/>
      <c r="P171" s="315"/>
      <c r="Q171" s="395"/>
      <c r="R171" s="315"/>
      <c r="S171" s="315"/>
      <c r="T171" s="395"/>
      <c r="U171" s="315">
        <f>'FY 2016 by Agency'!U172*Inflator!$E$9</f>
        <v>653983.92274535797</v>
      </c>
      <c r="V171" s="315"/>
      <c r="W171" s="395"/>
      <c r="X171" s="315">
        <f>'FY 2016 by Agency'!X172*Inflator!$E$10</f>
        <v>656307.78882184823</v>
      </c>
      <c r="Y171" s="413">
        <f t="shared" si="196"/>
        <v>2323.8660764902597</v>
      </c>
      <c r="Z171" s="396" t="s">
        <v>405</v>
      </c>
      <c r="AA171" s="315">
        <f>'FY 2016 by Agency'!AA172*Inflator!$E$11</f>
        <v>532769.95125836262</v>
      </c>
      <c r="AB171" s="413">
        <f t="shared" si="173"/>
        <v>-123537.83756348561</v>
      </c>
      <c r="AC171" s="316"/>
      <c r="AD171" s="315" t="e">
        <f>'FY 2016 by Agency'!AD172*Inflator!#REF!</f>
        <v>#REF!</v>
      </c>
      <c r="AE171" s="315">
        <f>'FY 2016 by Agency'!AE172*Inflator!$B$8</f>
        <v>0</v>
      </c>
      <c r="AF171" s="315">
        <f>'FY 2016 by Agency'!AF172*Inflator!$E$12</f>
        <v>598382.44736842113</v>
      </c>
      <c r="AG171" s="315">
        <f t="shared" si="175"/>
        <v>65612.496110058506</v>
      </c>
      <c r="AH171" s="316">
        <f t="shared" si="176"/>
        <v>0.12315352236943303</v>
      </c>
      <c r="AI171" s="315">
        <f>'FY 2016 by Agency'!AI172*Inflator!$B$8</f>
        <v>0</v>
      </c>
      <c r="AJ171" s="315">
        <f>'FY 2016 by Agency'!AJ172*Inflator!$B$8</f>
        <v>0</v>
      </c>
      <c r="AK171" s="315">
        <f>'FY 2016 by Agency'!AK172</f>
        <v>700069</v>
      </c>
      <c r="AL171" s="315">
        <f>'FY 2016 by Agency'!AL172</f>
        <v>0</v>
      </c>
      <c r="AM171" s="315">
        <f>'FY 2016 by Agency'!AM172</f>
        <v>700069</v>
      </c>
      <c r="AN171" s="315">
        <f>'FY 2016 by Agency'!AN172</f>
        <v>509039</v>
      </c>
      <c r="AO171" s="315">
        <f>'FY 2016 by Agency'!AO172</f>
        <v>580186</v>
      </c>
      <c r="AP171" s="315">
        <f>'FY 2016 by Agency'!AP172</f>
        <v>0</v>
      </c>
      <c r="AQ171" s="315">
        <f>'FY 2016 by Agency'!AQ172</f>
        <v>10</v>
      </c>
      <c r="AR171" s="315">
        <f>'FY 2016 by Agency'!AR172</f>
        <v>10</v>
      </c>
      <c r="AS171" s="315">
        <f>'FY 2016 by Agency'!AS172</f>
        <v>608886.04353999998</v>
      </c>
      <c r="AT171" s="315" t="e">
        <f t="shared" si="177"/>
        <v>#REF!</v>
      </c>
      <c r="AU171" s="316" t="e">
        <f t="shared" si="178"/>
        <v>#REF!</v>
      </c>
      <c r="AV171" s="315">
        <f t="shared" si="179"/>
        <v>10503.596171578858</v>
      </c>
      <c r="AW171" s="316">
        <f t="shared" si="180"/>
        <v>1.7553315973374208E-2</v>
      </c>
      <c r="AX171" s="321" t="s">
        <v>459</v>
      </c>
      <c r="AY171" s="318">
        <v>559510</v>
      </c>
      <c r="AZ171" s="318">
        <f t="shared" si="181"/>
        <v>-20676</v>
      </c>
      <c r="BA171" s="318">
        <f t="shared" si="182"/>
        <v>-10172.403828421142</v>
      </c>
      <c r="BB171" s="318">
        <f t="shared" si="183"/>
        <v>588210.04353999998</v>
      </c>
      <c r="BC171" s="316">
        <f t="shared" si="184"/>
        <v>-1.6999836598077911E-2</v>
      </c>
      <c r="BD171" s="323">
        <v>1425.357</v>
      </c>
      <c r="BE171" s="324">
        <f t="shared" si="212"/>
        <v>2.5475094278922627E-3</v>
      </c>
      <c r="BF171" s="317">
        <v>7925</v>
      </c>
      <c r="BI171" s="318">
        <v>591800</v>
      </c>
      <c r="BJ171" s="318">
        <f t="shared" si="197"/>
        <v>32290</v>
      </c>
      <c r="BK171" s="318">
        <f t="shared" si="198"/>
        <v>591810</v>
      </c>
      <c r="BL171" s="432">
        <f>'FY 2016 by Agency'!BB172*Inflator!$E$13</f>
        <v>669447.78299500153</v>
      </c>
      <c r="BM171" s="315">
        <f t="shared" si="199"/>
        <v>71065.335626580403</v>
      </c>
      <c r="BN171" s="324">
        <f t="shared" si="200"/>
        <v>0.11876240009898857</v>
      </c>
      <c r="BO171" s="315">
        <f>'FY 2016 by Agency'!AX172*Inflator!$E$13</f>
        <v>768424.13518462004</v>
      </c>
      <c r="BP171" s="315">
        <f t="shared" si="185"/>
        <v>170041.68781619892</v>
      </c>
      <c r="BQ171" s="316">
        <f t="shared" si="186"/>
        <v>0.28416890997390015</v>
      </c>
      <c r="BR171" s="315">
        <f>'FY 2016 by Agency'!BE172*Inflator!$E$14</f>
        <v>773456.52532777109</v>
      </c>
      <c r="BS171" s="315">
        <f t="shared" si="187"/>
        <v>5032.3901431510458</v>
      </c>
      <c r="BT171" s="316">
        <f t="shared" si="188"/>
        <v>6.5489745997397309E-3</v>
      </c>
      <c r="BU171" s="315">
        <f>'FY 2016 by Agency'!BL172*Inflator!$E$14</f>
        <v>773456.52532777109</v>
      </c>
      <c r="BV171" s="315">
        <f>BU171-BL171</f>
        <v>104008.74233276956</v>
      </c>
      <c r="BW171" s="413">
        <v>750612</v>
      </c>
      <c r="BX171" s="413">
        <f>'FY 2016 by Agency'!BW172*Inflator!E15</f>
        <v>794091.27088830248</v>
      </c>
      <c r="BY171" s="204">
        <f>'FY 2016 by Agency'!BZ172*Inflator!$E$15</f>
        <v>838030.75901495153</v>
      </c>
      <c r="BZ171" s="413">
        <f t="shared" si="189"/>
        <v>-22844.525327771087</v>
      </c>
      <c r="CA171" s="324">
        <f t="shared" si="190"/>
        <v>-2.9535629450007112E-2</v>
      </c>
      <c r="CB171" s="308">
        <f>'FY 2016 by Agency'!CF172*Inflator!$E$16</f>
        <v>814147.94657811138</v>
      </c>
      <c r="CC171" s="413">
        <f t="shared" si="191"/>
        <v>-23882.812436840148</v>
      </c>
      <c r="CD171" s="316">
        <f t="shared" si="192"/>
        <v>-2.8498730124074178E-2</v>
      </c>
      <c r="CE171" s="206">
        <f>'FY 2016 by Agency'!CK172*Inflator!$E$17</f>
        <v>777021.81609521119</v>
      </c>
      <c r="CF171" s="206">
        <f t="shared" si="202"/>
        <v>-37126.130482900189</v>
      </c>
      <c r="CG171" s="562">
        <f t="shared" si="203"/>
        <v>-4.5601208771627377E-2</v>
      </c>
      <c r="CH171" s="753">
        <f>'FY 2016 by Agency'!CN172*Inflator!$E$18</f>
        <v>759552</v>
      </c>
      <c r="CI171" s="753">
        <f t="shared" si="204"/>
        <v>-17469.816095211194</v>
      </c>
      <c r="CJ171" s="304">
        <f t="shared" si="205"/>
        <v>-2.2483044534068214E-2</v>
      </c>
    </row>
    <row r="172" spans="1:88" s="317" customFormat="1" ht="18" customHeight="1" x14ac:dyDescent="0.25">
      <c r="A172" s="317" t="s">
        <v>522</v>
      </c>
      <c r="B172" s="302" t="e">
        <f>'FY 2016 by Agency'!B175*Inflator!#REF!</f>
        <v>#VALUE!</v>
      </c>
      <c r="C172" s="302" t="e">
        <f>'FY 2016 by Agency'!C175*Inflator!#REF!</f>
        <v>#VALUE!</v>
      </c>
      <c r="D172" s="302" t="e">
        <f t="shared" si="166"/>
        <v>#VALUE!</v>
      </c>
      <c r="E172" s="303" t="e">
        <f>(C172-B172)/B172</f>
        <v>#VALUE!</v>
      </c>
      <c r="F172" s="204" t="e">
        <f>'FY 2016 by Agency'!F175*Inflator!#REF!</f>
        <v>#VALUE!</v>
      </c>
      <c r="G172" s="204" t="e">
        <f t="shared" si="167"/>
        <v>#VALUE!</v>
      </c>
      <c r="H172" s="199" t="e">
        <f>(F172-C172)/C172</f>
        <v>#VALUE!</v>
      </c>
      <c r="I172" s="204" t="e">
        <f>'FY 2016 by Agency'!I175*Inflator!#REF!</f>
        <v>#VALUE!</v>
      </c>
      <c r="J172" s="204" t="e">
        <f t="shared" si="168"/>
        <v>#VALUE!</v>
      </c>
      <c r="K172" s="199" t="e">
        <f t="shared" si="169"/>
        <v>#VALUE!</v>
      </c>
      <c r="L172" s="204">
        <f>'FY 2016 by Agency'!L173*Inflator!$E$6</f>
        <v>0</v>
      </c>
      <c r="M172" s="310" t="s">
        <v>132</v>
      </c>
      <c r="N172" s="310" t="s">
        <v>132</v>
      </c>
      <c r="O172" s="204" t="e">
        <f>'FY 2016 by Agency'!O175*Inflator!#REF!</f>
        <v>#REF!</v>
      </c>
      <c r="P172" s="315" t="e">
        <f t="shared" si="193"/>
        <v>#REF!</v>
      </c>
      <c r="Q172" s="316" t="e">
        <f>P172/L172</f>
        <v>#REF!</v>
      </c>
      <c r="R172" s="204" t="e">
        <f>'FY 2016 by Agency'!R175*Inflator!#REF!</f>
        <v>#REF!</v>
      </c>
      <c r="S172" s="315" t="e">
        <f t="shared" si="172"/>
        <v>#REF!</v>
      </c>
      <c r="T172" s="395" t="s">
        <v>132</v>
      </c>
      <c r="U172" s="204">
        <f>'FY 2016 by Agency'!U173*Inflator!$E$9</f>
        <v>0</v>
      </c>
      <c r="V172" s="315" t="e">
        <f t="shared" si="194"/>
        <v>#REF!</v>
      </c>
      <c r="W172" s="395" t="s">
        <v>132</v>
      </c>
      <c r="X172" s="204">
        <f>'FY 2016 by Agency'!X173*Inflator!$E$10</f>
        <v>0</v>
      </c>
      <c r="Y172" s="206">
        <f>X172-U172</f>
        <v>0</v>
      </c>
      <c r="Z172" s="316" t="e">
        <f>Y172/U172</f>
        <v>#DIV/0!</v>
      </c>
      <c r="AA172" s="204">
        <f>'FY 2016 by Agency'!AA175*Inflator!$E$11</f>
        <v>0</v>
      </c>
      <c r="AB172" s="206">
        <f t="shared" si="173"/>
        <v>0</v>
      </c>
      <c r="AC172" s="304"/>
      <c r="AD172" s="204" t="e">
        <f>'FY 2016 by Agency'!AD175*Inflator!#REF!</f>
        <v>#REF!</v>
      </c>
      <c r="AE172" s="204">
        <f>'FY 2016 by Agency'!AE175*Inflator!$B$8</f>
        <v>0</v>
      </c>
      <c r="AF172" s="204">
        <f>'FY 2016 by Agency'!AF175*Inflator!$E$12</f>
        <v>0</v>
      </c>
      <c r="AG172" s="204">
        <f t="shared" si="175"/>
        <v>0</v>
      </c>
      <c r="AH172" s="304" t="e">
        <f t="shared" si="176"/>
        <v>#DIV/0!</v>
      </c>
      <c r="AI172" s="204">
        <f>'FY 2016 by Agency'!AI175*Inflator!$B$8</f>
        <v>0</v>
      </c>
      <c r="AJ172" s="204">
        <f>'FY 2016 by Agency'!AJ175*Inflator!$B$8</f>
        <v>0</v>
      </c>
      <c r="AK172" s="204">
        <f>'FY 2016 by Agency'!AK175</f>
        <v>0</v>
      </c>
      <c r="AL172" s="204">
        <f>'FY 2016 by Agency'!AL175</f>
        <v>0</v>
      </c>
      <c r="AM172" s="204">
        <f>'FY 2016 by Agency'!AM175</f>
        <v>0</v>
      </c>
      <c r="AN172" s="204">
        <f>'FY 2016 by Agency'!AN175</f>
        <v>0</v>
      </c>
      <c r="AO172" s="204">
        <f>'FY 2016 by Agency'!AO175</f>
        <v>0</v>
      </c>
      <c r="AP172" s="204">
        <f>'FY 2016 by Agency'!AP175</f>
        <v>0</v>
      </c>
      <c r="AQ172" s="204">
        <f>'FY 2016 by Agency'!AQ175</f>
        <v>0</v>
      </c>
      <c r="AR172" s="204">
        <f>'FY 2016 by Agency'!AR175</f>
        <v>0</v>
      </c>
      <c r="AS172" s="204">
        <f>'FY 2016 by Agency'!AS175</f>
        <v>0</v>
      </c>
      <c r="AT172" s="204" t="e">
        <f t="shared" si="177"/>
        <v>#REF!</v>
      </c>
      <c r="AU172" s="304" t="e">
        <f t="shared" si="178"/>
        <v>#REF!</v>
      </c>
      <c r="AV172" s="204">
        <f t="shared" si="179"/>
        <v>0</v>
      </c>
      <c r="AW172" s="304" t="e">
        <f t="shared" si="180"/>
        <v>#DIV/0!</v>
      </c>
      <c r="AX172" s="316"/>
      <c r="AY172" s="316"/>
      <c r="AZ172" s="316"/>
      <c r="BA172" s="316"/>
      <c r="BB172" s="316"/>
      <c r="BC172" s="316"/>
      <c r="BD172" s="434"/>
      <c r="BE172" s="322"/>
      <c r="BI172" s="318"/>
      <c r="BJ172" s="200">
        <f t="shared" si="197"/>
        <v>0</v>
      </c>
      <c r="BK172" s="318"/>
      <c r="BL172" s="435">
        <f>'FY 2016 by Agency'!AS175*Inflator!$E$13</f>
        <v>0</v>
      </c>
      <c r="BM172" s="204">
        <f t="shared" si="199"/>
        <v>0</v>
      </c>
      <c r="BN172" s="324" t="e">
        <f t="shared" si="200"/>
        <v>#DIV/0!</v>
      </c>
      <c r="BO172" s="204">
        <f>'FY 2016 by Agency'!AX175*Inflator!$E$13</f>
        <v>0</v>
      </c>
      <c r="BP172" s="204">
        <f t="shared" si="185"/>
        <v>0</v>
      </c>
      <c r="BQ172" s="304" t="e">
        <f t="shared" si="186"/>
        <v>#DIV/0!</v>
      </c>
      <c r="BR172" s="204">
        <f>'FY 2016 by Agency'!BE175*Inflator!$E$14</f>
        <v>0</v>
      </c>
      <c r="BS172" s="204">
        <f t="shared" si="187"/>
        <v>0</v>
      </c>
      <c r="BT172" s="304" t="e">
        <f t="shared" si="188"/>
        <v>#DIV/0!</v>
      </c>
      <c r="BU172" s="204">
        <f>'FY 2016 by Agency'!BL175*Inflator!$E$14</f>
        <v>0</v>
      </c>
      <c r="BV172" s="204">
        <f t="shared" si="201"/>
        <v>0</v>
      </c>
      <c r="BW172" s="206"/>
      <c r="BX172" s="206">
        <f>'FY 2016 by Agency'!BW172*Inflator!E35</f>
        <v>0</v>
      </c>
      <c r="BY172" s="204">
        <f>'FY 2016 by Agency'!BZ174*Inflator!$E$15</f>
        <v>0</v>
      </c>
      <c r="BZ172" s="206">
        <f t="shared" si="189"/>
        <v>0</v>
      </c>
      <c r="CA172" s="199" t="e">
        <f t="shared" si="190"/>
        <v>#DIV/0!</v>
      </c>
      <c r="CB172" s="308">
        <f>'FY 2016 by Agency'!CF174*Inflator!$E$16</f>
        <v>0</v>
      </c>
      <c r="CC172" s="206"/>
      <c r="CD172" s="304" t="e">
        <f t="shared" si="192"/>
        <v>#DIV/0!</v>
      </c>
      <c r="CE172" s="206">
        <f>'FY 2016 by Agency'!CK173*Inflator!$E$17</f>
        <v>29353.882969679798</v>
      </c>
      <c r="CF172" s="206">
        <f t="shared" si="202"/>
        <v>29353.882969679798</v>
      </c>
      <c r="CG172" s="562" t="e">
        <f t="shared" si="203"/>
        <v>#DIV/0!</v>
      </c>
      <c r="CH172" s="753">
        <f>'FY 2016 by Agency'!CN173*Inflator!$E$18</f>
        <v>29614</v>
      </c>
      <c r="CI172" s="753">
        <f t="shared" si="204"/>
        <v>260.11703032020159</v>
      </c>
      <c r="CJ172" s="304">
        <f t="shared" si="205"/>
        <v>8.8614181159229113E-3</v>
      </c>
    </row>
    <row r="173" spans="1:88" s="211" customFormat="1" ht="18" customHeight="1" thickBot="1" x14ac:dyDescent="0.3">
      <c r="A173" s="325" t="s">
        <v>280</v>
      </c>
      <c r="B173" s="326"/>
      <c r="C173" s="326"/>
      <c r="D173" s="326"/>
      <c r="E173" s="424"/>
      <c r="F173" s="327"/>
      <c r="G173" s="327"/>
      <c r="H173" s="212"/>
      <c r="I173" s="327"/>
      <c r="J173" s="327"/>
      <c r="K173" s="212"/>
      <c r="L173" s="327"/>
      <c r="M173" s="326"/>
      <c r="N173" s="326"/>
      <c r="O173" s="327"/>
      <c r="P173" s="327"/>
      <c r="Q173" s="328"/>
      <c r="R173" s="327"/>
      <c r="S173" s="327"/>
      <c r="T173" s="412"/>
      <c r="U173" s="327"/>
      <c r="V173" s="327"/>
      <c r="W173" s="412"/>
      <c r="X173" s="327"/>
      <c r="Y173" s="333"/>
      <c r="Z173" s="328"/>
      <c r="AA173" s="327"/>
      <c r="AB173" s="333"/>
      <c r="AC173" s="328"/>
      <c r="AD173" s="327"/>
      <c r="AE173" s="327"/>
      <c r="AF173" s="327"/>
      <c r="AG173" s="327"/>
      <c r="AH173" s="328"/>
      <c r="AI173" s="327"/>
      <c r="AJ173" s="327"/>
      <c r="AK173" s="327"/>
      <c r="AL173" s="327"/>
      <c r="AM173" s="327"/>
      <c r="AN173" s="327"/>
      <c r="AO173" s="327"/>
      <c r="AP173" s="327"/>
      <c r="AQ173" s="327"/>
      <c r="AR173" s="327"/>
      <c r="AS173" s="327"/>
      <c r="AT173" s="327"/>
      <c r="AU173" s="328"/>
      <c r="AV173" s="327"/>
      <c r="AW173" s="328"/>
      <c r="AX173" s="328"/>
      <c r="AY173" s="328"/>
      <c r="AZ173" s="328"/>
      <c r="BA173" s="328"/>
      <c r="BB173" s="328"/>
      <c r="BC173" s="328"/>
      <c r="BD173" s="400"/>
      <c r="BE173" s="329"/>
      <c r="BI173" s="331"/>
      <c r="BJ173" s="331"/>
      <c r="BK173" s="331"/>
      <c r="BL173" s="436"/>
      <c r="BM173" s="327"/>
      <c r="BN173" s="212"/>
      <c r="BO173" s="327"/>
      <c r="BP173" s="327"/>
      <c r="BQ173" s="328"/>
      <c r="BR173" s="327"/>
      <c r="BS173" s="327"/>
      <c r="BT173" s="328"/>
      <c r="BU173" s="327"/>
      <c r="BV173" s="327"/>
      <c r="BW173" s="333"/>
      <c r="BX173" s="333">
        <f>'FY 2016 by Agency'!BW175*Inflator!E$15</f>
        <v>0</v>
      </c>
      <c r="BY173" s="327">
        <f>'FY 2016 by Agency'!BZ175*Inflator!$E$15</f>
        <v>0</v>
      </c>
      <c r="BZ173" s="333">
        <f t="shared" si="189"/>
        <v>0</v>
      </c>
      <c r="CA173" s="212" t="e">
        <f t="shared" si="190"/>
        <v>#DIV/0!</v>
      </c>
      <c r="CB173" s="308">
        <f>'FY 2016 by Agency'!CF175*Inflator!$E$16</f>
        <v>0</v>
      </c>
      <c r="CC173" s="333"/>
      <c r="CD173" s="328" t="e">
        <f t="shared" si="192"/>
        <v>#DIV/0!</v>
      </c>
      <c r="CE173" s="206">
        <f>'FY 2016 by Agency'!CK174*Inflator!$E$17</f>
        <v>0</v>
      </c>
      <c r="CF173" s="333">
        <f t="shared" si="202"/>
        <v>0</v>
      </c>
      <c r="CG173" s="675" t="e">
        <f t="shared" si="203"/>
        <v>#DIV/0!</v>
      </c>
      <c r="CH173" s="753">
        <f>'FY 2016 by Agency'!CN174*Inflator!$E$18</f>
        <v>0</v>
      </c>
      <c r="CI173" s="753">
        <f t="shared" si="204"/>
        <v>0</v>
      </c>
      <c r="CJ173" s="304" t="e">
        <f t="shared" si="205"/>
        <v>#DIV/0!</v>
      </c>
    </row>
    <row r="174" spans="1:88" s="363" customFormat="1" ht="18" customHeight="1" x14ac:dyDescent="0.25">
      <c r="A174" s="363" t="s">
        <v>282</v>
      </c>
      <c r="B174" s="336">
        <f>'FY 2016 by Agency'!B176*Inflator!$E$2</f>
        <v>1136338.5047846891</v>
      </c>
      <c r="C174" s="336">
        <f>'FY 2016 by Agency'!C176*Inflator!$E$3</f>
        <v>1299821.2314528595</v>
      </c>
      <c r="D174" s="336">
        <f t="shared" si="166"/>
        <v>163482.72666817042</v>
      </c>
      <c r="E174" s="337">
        <f>(C174-B174)/B174</f>
        <v>0.14386798122197467</v>
      </c>
      <c r="F174" s="338">
        <f>'FY 2016 by Agency'!F176*Inflator!$E$4</f>
        <v>1431769.3840883137</v>
      </c>
      <c r="G174" s="338">
        <f t="shared" si="167"/>
        <v>131948.1526354542</v>
      </c>
      <c r="H174" s="339">
        <f>(F174-C174)/C174</f>
        <v>0.10151253837265818</v>
      </c>
      <c r="I174" s="338">
        <f>'FY 2016 by Agency'!I176*Inflator!$E$5</f>
        <v>1426651.3298624025</v>
      </c>
      <c r="J174" s="338">
        <f t="shared" si="168"/>
        <v>-5118.0542259111535</v>
      </c>
      <c r="K174" s="339">
        <f t="shared" si="169"/>
        <v>-3.5746358895431336E-3</v>
      </c>
      <c r="L174" s="338">
        <f>'FY 2016 by Agency'!L176*Inflator!$E$6</f>
        <v>1430025.5921483098</v>
      </c>
      <c r="M174" s="338">
        <f t="shared" si="170"/>
        <v>3374.2622859072872</v>
      </c>
      <c r="N174" s="339">
        <f t="shared" si="171"/>
        <v>2.3651625420155935E-3</v>
      </c>
      <c r="O174" s="338">
        <f>'FY 2016 by Agency'!O176*Inflator!$E$7</f>
        <v>1501036.9398099259</v>
      </c>
      <c r="P174" s="338">
        <f>O174-L174</f>
        <v>71011.347661616048</v>
      </c>
      <c r="Q174" s="342">
        <f>P174/L174</f>
        <v>4.9657396379135126E-2</v>
      </c>
      <c r="R174" s="338">
        <f>'FY 2016 by Agency'!R176*Inflator!$E$8</f>
        <v>1545337.217922607</v>
      </c>
      <c r="S174" s="338">
        <f t="shared" si="172"/>
        <v>44300.278112681117</v>
      </c>
      <c r="T174" s="342">
        <f>S174/O174</f>
        <v>2.9513116524827694E-2</v>
      </c>
      <c r="U174" s="338">
        <f>'FY 2016 by Agency'!U176*Inflator!$E$9</f>
        <v>1753462.7874668434</v>
      </c>
      <c r="V174" s="338" t="e">
        <f t="shared" ref="V174:AB174" si="213">SUM(V154:V172)</f>
        <v>#REF!</v>
      </c>
      <c r="W174" s="338">
        <f t="shared" si="213"/>
        <v>1.2582008725081908</v>
      </c>
      <c r="X174" s="338">
        <f>'FY 2016 by Agency'!X176*Inflator!$E$10</f>
        <v>1838660.4426802162</v>
      </c>
      <c r="Y174" s="338">
        <f t="shared" si="213"/>
        <v>117365.42079692715</v>
      </c>
      <c r="Z174" s="342">
        <f>Y174/U174</f>
        <v>6.6933511013644156E-2</v>
      </c>
      <c r="AA174" s="338">
        <f>'FY 2016 by Agency'!AA176*Inflator!$E$11</f>
        <v>1659029.4141446322</v>
      </c>
      <c r="AB174" s="338">
        <f t="shared" si="213"/>
        <v>-179631.02853558376</v>
      </c>
      <c r="AC174" s="342">
        <f>AB174/X174</f>
        <v>-9.7696684154326793E-2</v>
      </c>
      <c r="AD174" s="338" t="e">
        <f>'FY 2016 by Agency'!AD176*Inflator!#REF!</f>
        <v>#REF!</v>
      </c>
      <c r="AE174" s="336">
        <f>SUM(AE154:AE172)</f>
        <v>0</v>
      </c>
      <c r="AF174" s="338">
        <f>'FY 2016 by Agency'!AF176*Inflator!$E$12</f>
        <v>1660549.5563909777</v>
      </c>
      <c r="AG174" s="338">
        <f t="shared" si="175"/>
        <v>1520.1422463455237</v>
      </c>
      <c r="AH174" s="342">
        <f t="shared" si="176"/>
        <v>9.1628408356417463E-4</v>
      </c>
      <c r="AI174" s="338">
        <f>SUM(AI154:AI172)</f>
        <v>0</v>
      </c>
      <c r="AJ174" s="401">
        <f>SUM(AJ154:AJ172)</f>
        <v>0</v>
      </c>
      <c r="AK174" s="401">
        <f t="shared" ref="AK174:AS174" si="214">SUM(AK154:AK172)</f>
        <v>1578032</v>
      </c>
      <c r="AL174" s="401">
        <f t="shared" si="214"/>
        <v>44836</v>
      </c>
      <c r="AM174" s="401">
        <f t="shared" si="214"/>
        <v>1622868</v>
      </c>
      <c r="AN174" s="401">
        <f t="shared" si="214"/>
        <v>1348335</v>
      </c>
      <c r="AO174" s="401">
        <f t="shared" si="214"/>
        <v>1449360</v>
      </c>
      <c r="AP174" s="401">
        <f t="shared" si="214"/>
        <v>7651</v>
      </c>
      <c r="AQ174" s="401">
        <f t="shared" si="214"/>
        <v>2995</v>
      </c>
      <c r="AR174" s="401">
        <f t="shared" si="214"/>
        <v>10646</v>
      </c>
      <c r="AS174" s="401">
        <f t="shared" si="214"/>
        <v>1466084.8808900001</v>
      </c>
      <c r="AT174" s="338" t="e">
        <f t="shared" si="177"/>
        <v>#REF!</v>
      </c>
      <c r="AU174" s="342" t="e">
        <f t="shared" si="178"/>
        <v>#REF!</v>
      </c>
      <c r="AV174" s="338">
        <f t="shared" si="179"/>
        <v>-194464.67550097755</v>
      </c>
      <c r="AW174" s="342">
        <f t="shared" si="180"/>
        <v>-0.11710862512506112</v>
      </c>
      <c r="AX174" s="342"/>
      <c r="AY174" s="401">
        <f>SUM(AY154:AY171)</f>
        <v>1433444.59054</v>
      </c>
      <c r="AZ174" s="401">
        <f>SUM(AZ154:AZ171)</f>
        <v>-15915.409460000001</v>
      </c>
      <c r="BA174" s="401">
        <f>SUM(BA154:BA171)</f>
        <v>-210380.08496097758</v>
      </c>
      <c r="BB174" s="401">
        <f>SUM(BB154:BB171)</f>
        <v>1450169.4714299999</v>
      </c>
      <c r="BC174" s="342">
        <f>(BB174-AF174)/AF174</f>
        <v>-0.12669304818473218</v>
      </c>
      <c r="BD174" s="401">
        <f>SUM(BD154:BD171)</f>
        <v>48224.718999999997</v>
      </c>
      <c r="BE174" s="339">
        <f>BD174/AY174</f>
        <v>3.36425414126632E-2</v>
      </c>
      <c r="BF174" s="339">
        <f>(BB174-X174)/X174</f>
        <v>-0.21129022098496489</v>
      </c>
      <c r="BI174" s="401">
        <f>SUM(BI154:BI172)</f>
        <v>1453130</v>
      </c>
      <c r="BJ174" s="401">
        <f>SUM(BJ154:BJ172)</f>
        <v>19685.409460000003</v>
      </c>
      <c r="BK174" s="401">
        <f>SUM(BK154:BK172)</f>
        <v>1463776</v>
      </c>
      <c r="BL174" s="402">
        <f>SUM(BL154:BL172)</f>
        <v>1600227.7350767986</v>
      </c>
      <c r="BM174" s="338">
        <f t="shared" si="199"/>
        <v>-60321.821314179106</v>
      </c>
      <c r="BN174" s="339">
        <f t="shared" si="200"/>
        <v>-3.6326420420286623E-2</v>
      </c>
      <c r="BO174" s="338">
        <f>'FY 2016 by Agency'!AX176*Inflator!$E$13</f>
        <v>1740792.1437290204</v>
      </c>
      <c r="BP174" s="338">
        <f t="shared" si="185"/>
        <v>80242.587338042678</v>
      </c>
      <c r="BQ174" s="342">
        <f t="shared" si="186"/>
        <v>4.8322910345681667E-2</v>
      </c>
      <c r="BR174" s="338">
        <f>SUM(BR154:BR172)</f>
        <v>1729693.3694874849</v>
      </c>
      <c r="BS174" s="338">
        <f t="shared" si="187"/>
        <v>-11098.774241535459</v>
      </c>
      <c r="BT174" s="342">
        <f t="shared" si="188"/>
        <v>-6.3757033150209025E-3</v>
      </c>
      <c r="BU174" s="338">
        <f>SUM(BU154:BU172)</f>
        <v>1747628.923122765</v>
      </c>
      <c r="BV174" s="338">
        <f t="shared" si="201"/>
        <v>147401.18804596644</v>
      </c>
      <c r="BW174" s="352">
        <f>SUM(BW154:BW173)</f>
        <v>1646039</v>
      </c>
      <c r="BX174" s="338">
        <f>SUM(BX154:BX172)</f>
        <v>1819604.7845206682</v>
      </c>
      <c r="BY174" s="338">
        <f>'FY 2016 by Agency'!BZ176*Inflator!$E$15</f>
        <v>1758195.3412489004</v>
      </c>
      <c r="BZ174" s="352">
        <f t="shared" si="189"/>
        <v>-83654.369487484917</v>
      </c>
      <c r="CA174" s="339">
        <f t="shared" si="190"/>
        <v>-4.8363699001905777E-2</v>
      </c>
      <c r="CB174" s="674">
        <f>'FY 2016 by Agency'!CF176*Inflator!$E$16</f>
        <v>1833731.3996534795</v>
      </c>
      <c r="CC174" s="352">
        <f>CB174-BY174</f>
        <v>75536.05840457906</v>
      </c>
      <c r="CD174" s="342">
        <f t="shared" si="192"/>
        <v>4.2962267407058122E-2</v>
      </c>
      <c r="CE174" s="206">
        <f>'FY 2016 by Agency'!CK175*Inflator!$E$17</f>
        <v>0</v>
      </c>
      <c r="CF174" s="352">
        <f>CE174-CB174</f>
        <v>-1833731.3996534795</v>
      </c>
      <c r="CG174" s="562">
        <f>CF174/CB174</f>
        <v>-1</v>
      </c>
      <c r="CH174" s="753">
        <f>'FY 2016 by Agency'!CN173*Inflator!$E$18</f>
        <v>29614</v>
      </c>
      <c r="CI174" s="753">
        <f t="shared" si="204"/>
        <v>29614</v>
      </c>
      <c r="CJ174" s="304" t="e">
        <f t="shared" si="205"/>
        <v>#DIV/0!</v>
      </c>
    </row>
    <row r="175" spans="1:88" s="65" customFormat="1" ht="18" customHeight="1" x14ac:dyDescent="0.25">
      <c r="A175" s="363"/>
      <c r="B175" s="302"/>
      <c r="C175" s="302"/>
      <c r="D175" s="302"/>
      <c r="E175" s="303"/>
      <c r="F175" s="204"/>
      <c r="G175" s="204"/>
      <c r="H175" s="199"/>
      <c r="I175" s="204"/>
      <c r="J175" s="204"/>
      <c r="K175" s="199"/>
      <c r="L175" s="204"/>
      <c r="M175" s="204"/>
      <c r="N175" s="199"/>
      <c r="O175" s="204"/>
      <c r="P175" s="358"/>
      <c r="Q175" s="356"/>
      <c r="R175" s="204"/>
      <c r="S175" s="358"/>
      <c r="T175" s="356"/>
      <c r="U175" s="204"/>
      <c r="V175" s="358"/>
      <c r="W175" s="358"/>
      <c r="X175" s="204"/>
      <c r="Y175" s="358"/>
      <c r="Z175" s="342"/>
      <c r="AA175" s="204"/>
      <c r="AB175" s="358"/>
      <c r="AC175" s="356"/>
      <c r="AD175" s="204" t="e">
        <f>'FY 2016 by Agency'!AD177*Inflator!#REF!</f>
        <v>#REF!</v>
      </c>
      <c r="AE175" s="364"/>
      <c r="AF175" s="204"/>
      <c r="AG175" s="204"/>
      <c r="AH175" s="304"/>
      <c r="AI175" s="358"/>
      <c r="AJ175" s="365"/>
      <c r="AK175" s="365"/>
      <c r="AL175" s="365"/>
      <c r="AM175" s="365"/>
      <c r="AN175" s="365"/>
      <c r="AO175" s="365"/>
      <c r="AP175" s="365"/>
      <c r="AQ175" s="365"/>
      <c r="AR175" s="365"/>
      <c r="AS175" s="365"/>
      <c r="AT175" s="358"/>
      <c r="AU175" s="356"/>
      <c r="AV175" s="204"/>
      <c r="AW175" s="356"/>
      <c r="AX175" s="304"/>
      <c r="AY175" s="200">
        <f>+AS174+AZ174</f>
        <v>1450169.4714300002</v>
      </c>
      <c r="AZ175" s="304"/>
      <c r="BA175" s="304"/>
      <c r="BB175" s="304"/>
      <c r="BC175" s="304"/>
      <c r="BD175" s="359"/>
      <c r="BE175" s="207"/>
      <c r="BI175" s="365"/>
      <c r="BK175" s="371"/>
      <c r="BL175" s="405"/>
      <c r="BM175" s="204"/>
      <c r="BN175" s="199"/>
      <c r="BP175" s="204"/>
      <c r="BQ175" s="66"/>
      <c r="BR175" s="204"/>
      <c r="BS175" s="204"/>
      <c r="BT175" s="66"/>
      <c r="BU175" s="204"/>
      <c r="BV175" s="204"/>
      <c r="BW175" s="206"/>
      <c r="BX175" s="206"/>
      <c r="BY175" s="338"/>
      <c r="BZ175" s="206"/>
      <c r="CA175" s="199"/>
      <c r="CB175" s="694">
        <f>CB174+(CB63+CB64+CB65+CB78)</f>
        <v>1996103.6170950041</v>
      </c>
      <c r="CC175" s="206"/>
      <c r="CD175" s="356"/>
      <c r="CE175" s="206">
        <f>'FY 2016 by Agency'!CK176*Inflator!$E$17</f>
        <v>1926395.2536979318</v>
      </c>
      <c r="CF175" s="368">
        <f>CE175-CB175</f>
        <v>-69708.363397072302</v>
      </c>
      <c r="CG175" s="624">
        <f>CF175/CB175</f>
        <v>-3.4922216862930795E-2</v>
      </c>
      <c r="CH175" s="753">
        <f>'FY 2016 by Agency'!CN174*Inflator!$E$18</f>
        <v>0</v>
      </c>
      <c r="CI175" s="753">
        <f t="shared" si="204"/>
        <v>-1926395.2536979318</v>
      </c>
      <c r="CJ175" s="304">
        <f t="shared" si="205"/>
        <v>-1</v>
      </c>
    </row>
    <row r="176" spans="1:88" s="65" customFormat="1" ht="18" customHeight="1" x14ac:dyDescent="0.25">
      <c r="A176" s="363"/>
      <c r="B176" s="302"/>
      <c r="C176" s="302"/>
      <c r="D176" s="302"/>
      <c r="E176" s="303"/>
      <c r="F176" s="204"/>
      <c r="G176" s="204"/>
      <c r="H176" s="199"/>
      <c r="I176" s="204"/>
      <c r="J176" s="204"/>
      <c r="K176" s="199"/>
      <c r="L176" s="204"/>
      <c r="M176" s="204"/>
      <c r="N176" s="199"/>
      <c r="O176" s="204"/>
      <c r="P176" s="358"/>
      <c r="Q176" s="356"/>
      <c r="R176" s="204"/>
      <c r="S176" s="358"/>
      <c r="T176" s="356"/>
      <c r="U176" s="204"/>
      <c r="V176" s="358"/>
      <c r="W176" s="358"/>
      <c r="X176" s="206"/>
      <c r="Y176" s="358"/>
      <c r="Z176" s="342"/>
      <c r="AA176" s="204"/>
      <c r="AB176" s="358"/>
      <c r="AC176" s="356"/>
      <c r="AD176" s="204" t="e">
        <f>'FY 2016 by Agency'!AD178*Inflator!#REF!</f>
        <v>#REF!</v>
      </c>
      <c r="AE176" s="364"/>
      <c r="AF176" s="204"/>
      <c r="AG176" s="204"/>
      <c r="AH176" s="304"/>
      <c r="AI176" s="358"/>
      <c r="AJ176" s="365"/>
      <c r="AK176" s="365"/>
      <c r="AL176" s="365"/>
      <c r="AM176" s="365"/>
      <c r="AN176" s="365"/>
      <c r="AO176" s="365"/>
      <c r="AP176" s="365"/>
      <c r="AQ176" s="365"/>
      <c r="AR176" s="365"/>
      <c r="AS176" s="365"/>
      <c r="AT176" s="358" t="e">
        <f>AR174-AD176</f>
        <v>#REF!</v>
      </c>
      <c r="AU176" s="356" t="e">
        <f>AT176/AD176</f>
        <v>#REF!</v>
      </c>
      <c r="AV176" s="204">
        <f>AS174-AF176</f>
        <v>1466084.8808900001</v>
      </c>
      <c r="AW176" s="356" t="e">
        <f>AV176/AF176</f>
        <v>#DIV/0!</v>
      </c>
      <c r="AX176" s="304"/>
      <c r="AY176" s="304" t="e">
        <f>+AY175/AF176-1</f>
        <v>#DIV/0!</v>
      </c>
      <c r="AZ176" s="304"/>
      <c r="BA176" s="304"/>
      <c r="BB176" s="304"/>
      <c r="BC176" s="304"/>
      <c r="BD176" s="359"/>
      <c r="BE176" s="207"/>
      <c r="BI176" s="365"/>
      <c r="BK176" s="371"/>
      <c r="BL176" s="405"/>
      <c r="BM176" s="204"/>
      <c r="BN176" s="199"/>
      <c r="BO176" s="367"/>
      <c r="BP176" s="204"/>
      <c r="BQ176" s="66"/>
      <c r="BR176" s="204"/>
      <c r="BT176" s="205"/>
      <c r="BU176" s="204"/>
      <c r="BV176" s="204"/>
      <c r="BW176" s="206">
        <f>+BW174+920</f>
        <v>1646959</v>
      </c>
      <c r="BX176" s="206">
        <f>'FY 2016 by Agency'!BW178*Inflator!E$15</f>
        <v>1739663.8161829375</v>
      </c>
      <c r="BY176" s="206"/>
      <c r="BZ176" s="206"/>
      <c r="CA176" s="199"/>
      <c r="CC176" s="206"/>
      <c r="CD176" s="356"/>
      <c r="CG176" s="624"/>
      <c r="CJ176" s="66"/>
    </row>
    <row r="177" spans="1:88" s="65" customFormat="1" ht="18" customHeight="1" x14ac:dyDescent="0.25">
      <c r="A177" s="363"/>
      <c r="B177" s="302"/>
      <c r="C177" s="302"/>
      <c r="D177" s="302"/>
      <c r="E177" s="303"/>
      <c r="F177" s="204"/>
      <c r="G177" s="204"/>
      <c r="H177" s="199"/>
      <c r="I177" s="204"/>
      <c r="J177" s="204"/>
      <c r="K177" s="199"/>
      <c r="L177" s="204"/>
      <c r="M177" s="204"/>
      <c r="N177" s="199"/>
      <c r="O177" s="204"/>
      <c r="P177" s="358"/>
      <c r="Q177" s="356"/>
      <c r="R177" s="204"/>
      <c r="S177" s="204"/>
      <c r="T177" s="304"/>
      <c r="U177" s="204"/>
      <c r="V177" s="204"/>
      <c r="W177" s="304"/>
      <c r="X177" s="204"/>
      <c r="AA177" s="204"/>
      <c r="AC177" s="365"/>
      <c r="AD177" s="204" t="e">
        <f>'FY 2016 by Agency'!AD179*Inflator!#REF!</f>
        <v>#REF!</v>
      </c>
      <c r="AE177" s="403"/>
      <c r="AF177" s="404"/>
      <c r="AG177" s="404"/>
      <c r="AH177" s="404"/>
      <c r="AI177" s="404"/>
      <c r="AM177" s="307"/>
      <c r="AN177" s="374"/>
      <c r="AO177" s="367"/>
      <c r="AP177" s="358"/>
      <c r="AQ177" s="358"/>
      <c r="AR177" s="358"/>
      <c r="AS177" s="204"/>
      <c r="AT177" s="204"/>
      <c r="AU177" s="368"/>
      <c r="AV177" s="367"/>
      <c r="AW177" s="354"/>
      <c r="BC177" s="356"/>
      <c r="BD177" s="369"/>
      <c r="BE177" s="370"/>
      <c r="BI177" s="365"/>
      <c r="BK177" s="371"/>
      <c r="BL177" s="405"/>
      <c r="BM177" s="204"/>
      <c r="BN177" s="199"/>
      <c r="BP177" s="204"/>
      <c r="BQ177" s="66"/>
      <c r="BR177" s="204"/>
      <c r="BS177" s="204"/>
      <c r="BT177" s="66"/>
      <c r="BU177" s="204"/>
      <c r="BV177" s="204"/>
      <c r="BW177" s="206"/>
      <c r="BX177" s="358"/>
      <c r="BY177" s="206"/>
      <c r="BZ177" s="206"/>
      <c r="CA177" s="199"/>
      <c r="CC177" s="206"/>
      <c r="CD177" s="356"/>
      <c r="CG177" s="624"/>
      <c r="CJ177" s="66"/>
    </row>
    <row r="178" spans="1:88" s="65" customFormat="1" ht="18" customHeight="1" x14ac:dyDescent="0.25">
      <c r="A178" s="373" t="s">
        <v>284</v>
      </c>
      <c r="B178" s="302"/>
      <c r="C178" s="302"/>
      <c r="D178" s="302"/>
      <c r="E178" s="303"/>
      <c r="F178" s="204"/>
      <c r="G178" s="204"/>
      <c r="H178" s="199"/>
      <c r="I178" s="204"/>
      <c r="J178" s="204"/>
      <c r="K178" s="199"/>
      <c r="L178" s="204"/>
      <c r="M178" s="204"/>
      <c r="N178" s="199"/>
      <c r="O178" s="204"/>
      <c r="P178" s="358"/>
      <c r="Q178" s="356"/>
      <c r="R178" s="204"/>
      <c r="S178" s="204"/>
      <c r="T178" s="304"/>
      <c r="U178" s="204"/>
      <c r="V178" s="204"/>
      <c r="W178" s="304"/>
      <c r="X178" s="204"/>
      <c r="AA178" s="204"/>
      <c r="AC178" s="365"/>
      <c r="AD178" s="204"/>
      <c r="AE178" s="403"/>
      <c r="AF178" s="404"/>
      <c r="AG178" s="404"/>
      <c r="AH178" s="404"/>
      <c r="AI178" s="404"/>
      <c r="AM178" s="307"/>
      <c r="AN178" s="374"/>
      <c r="AO178" s="367"/>
      <c r="AP178" s="358"/>
      <c r="AQ178" s="358"/>
      <c r="AR178" s="358"/>
      <c r="AS178" s="204"/>
      <c r="AT178" s="204"/>
      <c r="AU178" s="368"/>
      <c r="AV178" s="367"/>
      <c r="AW178" s="354"/>
      <c r="BD178" s="369"/>
      <c r="BE178" s="370"/>
      <c r="BI178" s="365"/>
      <c r="BK178" s="371"/>
      <c r="BL178" s="405"/>
      <c r="BM178" s="204"/>
      <c r="BN178" s="199"/>
      <c r="BP178" s="204"/>
      <c r="BQ178" s="66"/>
      <c r="BR178" s="204"/>
      <c r="BS178" s="204"/>
      <c r="BT178" s="66"/>
      <c r="BU178" s="204"/>
      <c r="BV178" s="204"/>
      <c r="BW178" s="206" t="e">
        <f>BW171-AX171</f>
        <v>#VALUE!</v>
      </c>
      <c r="BY178" s="206"/>
      <c r="BZ178" s="206"/>
      <c r="CA178" s="199"/>
      <c r="CC178" s="206"/>
      <c r="CD178" s="356"/>
      <c r="CG178" s="624"/>
      <c r="CJ178" s="66"/>
    </row>
    <row r="179" spans="1:88" s="65" customFormat="1" ht="18" customHeight="1" x14ac:dyDescent="0.25">
      <c r="A179" s="373"/>
      <c r="B179" s="302"/>
      <c r="C179" s="302"/>
      <c r="D179" s="302"/>
      <c r="E179" s="303"/>
      <c r="F179" s="204"/>
      <c r="G179" s="204"/>
      <c r="H179" s="199"/>
      <c r="I179" s="204"/>
      <c r="J179" s="204"/>
      <c r="K179" s="199"/>
      <c r="L179" s="204"/>
      <c r="M179" s="204"/>
      <c r="N179" s="199"/>
      <c r="O179" s="204"/>
      <c r="P179" s="358"/>
      <c r="Q179" s="356"/>
      <c r="R179" s="204"/>
      <c r="S179" s="204"/>
      <c r="T179" s="304"/>
      <c r="U179" s="204"/>
      <c r="V179" s="204"/>
      <c r="W179" s="304"/>
      <c r="X179" s="204"/>
      <c r="AA179" s="204"/>
      <c r="AC179" s="365"/>
      <c r="AD179" s="204"/>
      <c r="AE179" s="403"/>
      <c r="AF179" s="404"/>
      <c r="AG179" s="404"/>
      <c r="AH179" s="404"/>
      <c r="AI179" s="404"/>
      <c r="AM179" s="307"/>
      <c r="AN179" s="374"/>
      <c r="AO179" s="367"/>
      <c r="AP179" s="358"/>
      <c r="AQ179" s="358"/>
      <c r="AR179" s="358"/>
      <c r="AS179" s="204"/>
      <c r="AT179" s="204"/>
      <c r="AU179" s="368"/>
      <c r="AV179" s="367"/>
      <c r="AW179" s="354"/>
      <c r="BD179" s="369"/>
      <c r="BE179" s="370"/>
      <c r="BI179" s="365"/>
      <c r="BK179" s="371"/>
      <c r="BL179" s="405"/>
      <c r="BM179" s="204"/>
      <c r="BN179" s="199"/>
      <c r="BP179" s="204"/>
      <c r="BQ179" s="66"/>
      <c r="BR179" s="204"/>
      <c r="BS179" s="204"/>
      <c r="BT179" s="66"/>
      <c r="BU179" s="204"/>
      <c r="BV179" s="204"/>
      <c r="BW179" s="206" t="e">
        <f>BW171-AX171</f>
        <v>#VALUE!</v>
      </c>
      <c r="BY179" s="206"/>
      <c r="BZ179" s="206"/>
      <c r="CA179" s="199"/>
      <c r="CC179" s="206"/>
      <c r="CD179" s="356"/>
      <c r="CG179" s="624"/>
      <c r="CJ179" s="66"/>
    </row>
    <row r="180" spans="1:88" s="65" customFormat="1" ht="18" customHeight="1" x14ac:dyDescent="0.25">
      <c r="A180" s="65" t="s">
        <v>460</v>
      </c>
      <c r="B180" s="302"/>
      <c r="C180" s="302"/>
      <c r="D180" s="302"/>
      <c r="E180" s="303"/>
      <c r="F180" s="204"/>
      <c r="G180" s="204"/>
      <c r="H180" s="199"/>
      <c r="I180" s="204"/>
      <c r="J180" s="204"/>
      <c r="K180" s="199"/>
      <c r="L180" s="204"/>
      <c r="M180" s="204"/>
      <c r="N180" s="199"/>
      <c r="O180" s="204"/>
      <c r="P180" s="358"/>
      <c r="Q180" s="356"/>
      <c r="R180" s="204"/>
      <c r="S180" s="204"/>
      <c r="T180" s="304"/>
      <c r="U180" s="204"/>
      <c r="V180" s="204"/>
      <c r="W180" s="304"/>
      <c r="X180" s="204"/>
      <c r="AA180" s="204"/>
      <c r="AC180" s="365"/>
      <c r="AD180" s="204"/>
      <c r="AE180" s="403"/>
      <c r="AF180" s="404"/>
      <c r="AG180" s="404"/>
      <c r="AH180" s="404"/>
      <c r="AI180" s="404"/>
      <c r="AM180" s="307"/>
      <c r="AN180" s="374"/>
      <c r="AO180" s="367"/>
      <c r="AP180" s="358"/>
      <c r="AQ180" s="358"/>
      <c r="AR180" s="358"/>
      <c r="AS180" s="204"/>
      <c r="AT180" s="204"/>
      <c r="AU180" s="437"/>
      <c r="AV180" s="367"/>
      <c r="AW180" s="354"/>
      <c r="BD180" s="369"/>
      <c r="BE180" s="370"/>
      <c r="BI180" s="365"/>
      <c r="BK180" s="371"/>
      <c r="BL180" s="405"/>
      <c r="BM180" s="204"/>
      <c r="BN180" s="199"/>
      <c r="BP180" s="204"/>
      <c r="BQ180" s="66"/>
      <c r="BR180" s="204"/>
      <c r="BS180" s="204"/>
      <c r="BT180" s="66"/>
      <c r="BU180" s="204"/>
      <c r="BV180" s="204"/>
      <c r="BW180" s="206"/>
      <c r="BY180" s="206"/>
      <c r="BZ180" s="206"/>
      <c r="CA180" s="199"/>
      <c r="CC180" s="206"/>
      <c r="CD180" s="356"/>
      <c r="CG180" s="624"/>
    </row>
    <row r="181" spans="1:88" s="65" customFormat="1" ht="18" customHeight="1" x14ac:dyDescent="0.25">
      <c r="A181" s="373" t="s">
        <v>286</v>
      </c>
      <c r="B181" s="302"/>
      <c r="C181" s="302"/>
      <c r="D181" s="302"/>
      <c r="E181" s="303"/>
      <c r="F181" s="204"/>
      <c r="G181" s="204"/>
      <c r="H181" s="199"/>
      <c r="I181" s="204"/>
      <c r="J181" s="204"/>
      <c r="K181" s="199"/>
      <c r="L181" s="204"/>
      <c r="M181" s="204"/>
      <c r="N181" s="199"/>
      <c r="O181" s="204"/>
      <c r="P181" s="358"/>
      <c r="Q181" s="356"/>
      <c r="R181" s="204"/>
      <c r="S181" s="204"/>
      <c r="T181" s="304"/>
      <c r="U181" s="204"/>
      <c r="V181" s="204"/>
      <c r="W181" s="304"/>
      <c r="X181" s="204"/>
      <c r="AA181" s="204"/>
      <c r="AC181" s="365"/>
      <c r="AD181" s="204"/>
      <c r="AE181" s="403"/>
      <c r="AF181" s="404"/>
      <c r="AG181" s="404"/>
      <c r="AH181" s="404"/>
      <c r="AI181" s="404"/>
      <c r="AM181" s="307"/>
      <c r="AN181" s="374"/>
      <c r="AO181" s="367"/>
      <c r="AP181" s="358"/>
      <c r="AQ181" s="358"/>
      <c r="AR181" s="358"/>
      <c r="AS181" s="204"/>
      <c r="AT181" s="204"/>
      <c r="AU181" s="368"/>
      <c r="AV181" s="367"/>
      <c r="AW181" s="354"/>
      <c r="BD181" s="369"/>
      <c r="BE181" s="370"/>
      <c r="BI181" s="365"/>
      <c r="BK181" s="371"/>
      <c r="BL181" s="405"/>
      <c r="BM181" s="204"/>
      <c r="BN181" s="199"/>
      <c r="BP181" s="204"/>
      <c r="BQ181" s="66"/>
      <c r="BR181" s="204"/>
      <c r="BS181" s="204"/>
      <c r="BT181" s="66"/>
      <c r="BU181" s="204"/>
      <c r="BV181" s="204"/>
      <c r="BW181" s="206"/>
      <c r="BY181" s="206"/>
      <c r="BZ181" s="206"/>
      <c r="CA181" s="199"/>
      <c r="CC181" s="206"/>
      <c r="CD181" s="356"/>
      <c r="CG181" s="624"/>
    </row>
    <row r="182" spans="1:88" s="65" customFormat="1" ht="18" customHeight="1" x14ac:dyDescent="0.25">
      <c r="A182" s="373" t="s">
        <v>461</v>
      </c>
      <c r="B182" s="302"/>
      <c r="C182" s="302"/>
      <c r="D182" s="302"/>
      <c r="E182" s="303"/>
      <c r="F182" s="204"/>
      <c r="G182" s="204"/>
      <c r="H182" s="199"/>
      <c r="I182" s="204"/>
      <c r="J182" s="204"/>
      <c r="K182" s="199"/>
      <c r="L182" s="204"/>
      <c r="M182" s="204"/>
      <c r="N182" s="199"/>
      <c r="O182" s="204"/>
      <c r="P182" s="358"/>
      <c r="Q182" s="356"/>
      <c r="R182" s="204"/>
      <c r="S182" s="204"/>
      <c r="T182" s="304"/>
      <c r="U182" s="204"/>
      <c r="V182" s="204"/>
      <c r="W182" s="304"/>
      <c r="X182" s="204"/>
      <c r="AA182" s="204"/>
      <c r="AC182" s="365"/>
      <c r="AD182" s="204"/>
      <c r="AE182" s="403"/>
      <c r="AF182" s="404"/>
      <c r="AG182" s="404"/>
      <c r="AH182" s="404"/>
      <c r="AI182" s="404"/>
      <c r="AM182" s="307"/>
      <c r="AN182" s="374"/>
      <c r="AO182" s="367"/>
      <c r="AP182" s="358"/>
      <c r="AQ182" s="358"/>
      <c r="AR182" s="358"/>
      <c r="AS182" s="204"/>
      <c r="AT182" s="204"/>
      <c r="AU182" s="368"/>
      <c r="AV182" s="367"/>
      <c r="AW182" s="354"/>
      <c r="BD182" s="369"/>
      <c r="BE182" s="370"/>
      <c r="BI182" s="365"/>
      <c r="BK182" s="371"/>
      <c r="BL182" s="405"/>
      <c r="BM182" s="204"/>
      <c r="BN182" s="199"/>
      <c r="BP182" s="204"/>
      <c r="BQ182" s="66"/>
      <c r="BR182" s="204"/>
      <c r="BS182" s="204"/>
      <c r="BT182" s="66"/>
      <c r="BU182" s="204"/>
      <c r="BV182" s="204"/>
      <c r="BW182" s="206"/>
      <c r="BY182" s="206"/>
      <c r="BZ182" s="206"/>
      <c r="CA182" s="199"/>
      <c r="CC182" s="206"/>
      <c r="CD182" s="356"/>
      <c r="CG182" s="624"/>
    </row>
    <row r="183" spans="1:88" s="65" customFormat="1" ht="18" customHeight="1" x14ac:dyDescent="0.25">
      <c r="A183" s="373" t="s">
        <v>288</v>
      </c>
      <c r="B183" s="302"/>
      <c r="C183" s="302"/>
      <c r="D183" s="302"/>
      <c r="E183" s="303"/>
      <c r="F183" s="204"/>
      <c r="G183" s="204"/>
      <c r="H183" s="199"/>
      <c r="I183" s="204"/>
      <c r="J183" s="204"/>
      <c r="K183" s="199"/>
      <c r="L183" s="204"/>
      <c r="M183" s="204"/>
      <c r="N183" s="199"/>
      <c r="O183" s="204"/>
      <c r="P183" s="358"/>
      <c r="Q183" s="356"/>
      <c r="R183" s="204"/>
      <c r="S183" s="204"/>
      <c r="T183" s="304"/>
      <c r="U183" s="204"/>
      <c r="V183" s="204"/>
      <c r="W183" s="304"/>
      <c r="X183" s="204"/>
      <c r="AA183" s="204"/>
      <c r="AC183" s="365"/>
      <c r="AD183" s="204"/>
      <c r="AE183" s="403"/>
      <c r="AF183" s="404"/>
      <c r="AG183" s="404"/>
      <c r="AH183" s="404"/>
      <c r="AI183" s="404"/>
      <c r="AM183" s="307"/>
      <c r="AN183" s="374"/>
      <c r="AO183" s="367"/>
      <c r="AP183" s="358"/>
      <c r="AQ183" s="358"/>
      <c r="AR183" s="358"/>
      <c r="AS183" s="204"/>
      <c r="AT183" s="204"/>
      <c r="AU183" s="368"/>
      <c r="AV183" s="367"/>
      <c r="AW183" s="354"/>
      <c r="BD183" s="369"/>
      <c r="BE183" s="370"/>
      <c r="BI183" s="365"/>
      <c r="BK183" s="371"/>
      <c r="BL183" s="405"/>
      <c r="BM183" s="204"/>
      <c r="BN183" s="199"/>
      <c r="BP183" s="204"/>
      <c r="BQ183" s="66"/>
      <c r="BR183" s="204"/>
      <c r="BS183" s="204"/>
      <c r="BT183" s="66"/>
      <c r="BU183" s="204"/>
      <c r="BV183" s="204"/>
      <c r="BW183" s="206"/>
      <c r="BY183" s="206"/>
      <c r="BZ183" s="206"/>
      <c r="CA183" s="199"/>
      <c r="CC183" s="206"/>
      <c r="CD183" s="356"/>
      <c r="CG183" s="624"/>
    </row>
    <row r="184" spans="1:88" ht="18" customHeight="1" x14ac:dyDescent="0.25">
      <c r="A184" s="373" t="s">
        <v>289</v>
      </c>
      <c r="B184" s="302"/>
      <c r="C184" s="302"/>
      <c r="D184" s="302"/>
      <c r="E184" s="303"/>
      <c r="F184" s="204"/>
      <c r="G184" s="204"/>
      <c r="I184" s="204"/>
      <c r="J184" s="204"/>
      <c r="L184" s="204"/>
      <c r="M184" s="204"/>
      <c r="O184" s="204"/>
      <c r="P184" s="317"/>
      <c r="Q184" s="316"/>
      <c r="R184" s="204"/>
      <c r="S184" s="204"/>
      <c r="T184" s="304"/>
      <c r="U184" s="204"/>
      <c r="V184" s="204"/>
      <c r="W184" s="304"/>
      <c r="X184" s="204"/>
      <c r="AA184" s="204"/>
      <c r="AD184" s="204"/>
      <c r="AI184" s="202"/>
      <c r="AM184" s="307"/>
      <c r="AN184" s="374"/>
      <c r="BD184" s="359"/>
      <c r="BI184" s="200"/>
      <c r="BL184" s="405"/>
      <c r="BN184" s="199"/>
      <c r="BP184" s="204"/>
      <c r="BR184" s="204"/>
      <c r="BS184" s="204"/>
      <c r="BW184" s="206"/>
      <c r="BY184" s="206"/>
      <c r="BZ184" s="206"/>
      <c r="CA184" s="199"/>
      <c r="CC184" s="206"/>
      <c r="CD184" s="304"/>
      <c r="CG184" s="562"/>
    </row>
    <row r="185" spans="1:88" ht="18" customHeight="1" x14ac:dyDescent="0.25">
      <c r="A185" s="373"/>
      <c r="B185" s="302"/>
      <c r="C185" s="302"/>
      <c r="D185" s="302"/>
      <c r="E185" s="303"/>
      <c r="F185" s="204"/>
      <c r="G185" s="204"/>
      <c r="I185" s="204"/>
      <c r="J185" s="204"/>
      <c r="L185" s="204"/>
      <c r="M185" s="204"/>
      <c r="O185" s="204"/>
      <c r="P185" s="317"/>
      <c r="Q185" s="316"/>
      <c r="R185" s="204"/>
      <c r="S185" s="204"/>
      <c r="T185" s="304"/>
      <c r="U185" s="204"/>
      <c r="V185" s="204"/>
      <c r="W185" s="304"/>
      <c r="X185" s="204"/>
      <c r="AA185" s="204"/>
      <c r="AD185" s="204"/>
      <c r="AI185" s="202"/>
      <c r="AM185" s="307"/>
      <c r="AN185" s="374"/>
      <c r="BD185" s="359"/>
      <c r="BI185" s="200"/>
      <c r="BL185" s="405"/>
      <c r="BN185" s="199"/>
      <c r="BP185" s="204"/>
      <c r="BR185" s="204"/>
      <c r="BS185" s="204"/>
      <c r="BW185" s="206"/>
      <c r="BY185" s="206"/>
      <c r="BZ185" s="206"/>
      <c r="CA185" s="199"/>
      <c r="CC185" s="206"/>
      <c r="CD185" s="304"/>
      <c r="CG185" s="562"/>
    </row>
    <row r="186" spans="1:88" s="289" customFormat="1" ht="18" customHeight="1" x14ac:dyDescent="0.25">
      <c r="A186" s="283" t="s">
        <v>64</v>
      </c>
      <c r="B186" s="375"/>
      <c r="C186" s="375"/>
      <c r="D186" s="375"/>
      <c r="E186" s="376"/>
      <c r="F186" s="287"/>
      <c r="G186" s="287"/>
      <c r="H186" s="288"/>
      <c r="I186" s="287"/>
      <c r="J186" s="287"/>
      <c r="K186" s="288"/>
      <c r="L186" s="287"/>
      <c r="M186" s="287"/>
      <c r="N186" s="288"/>
      <c r="O186" s="287"/>
      <c r="P186" s="285"/>
      <c r="Q186" s="377"/>
      <c r="R186" s="287"/>
      <c r="S186" s="287"/>
      <c r="T186" s="407"/>
      <c r="U186" s="287"/>
      <c r="V186" s="287"/>
      <c r="W186" s="407"/>
      <c r="X186" s="287"/>
      <c r="AA186" s="287"/>
      <c r="AC186" s="290"/>
      <c r="AD186" s="287"/>
      <c r="AE186" s="291"/>
      <c r="AF186" s="292"/>
      <c r="AG186" s="292"/>
      <c r="AH186" s="292"/>
      <c r="AI186" s="292"/>
      <c r="AM186" s="383"/>
      <c r="AN186" s="384"/>
      <c r="AO186" s="295"/>
      <c r="AP186" s="287"/>
      <c r="AQ186" s="287"/>
      <c r="AR186" s="287"/>
      <c r="AS186" s="287"/>
      <c r="AT186" s="287"/>
      <c r="AU186" s="296"/>
      <c r="AV186" s="295"/>
      <c r="AW186" s="287"/>
      <c r="BD186" s="297"/>
      <c r="BE186" s="298"/>
      <c r="BI186" s="290"/>
      <c r="BK186" s="299"/>
      <c r="BL186" s="408"/>
      <c r="BM186" s="287"/>
      <c r="BN186" s="288"/>
      <c r="BP186" s="287"/>
      <c r="BR186" s="287"/>
      <c r="BS186" s="287"/>
      <c r="BU186" s="287"/>
      <c r="BV186" s="287"/>
      <c r="BW186" s="296"/>
      <c r="BY186" s="296"/>
      <c r="BZ186" s="296"/>
      <c r="CA186" s="288"/>
      <c r="CC186" s="296"/>
      <c r="CD186" s="407"/>
      <c r="CG186" s="677"/>
    </row>
    <row r="187" spans="1:88" ht="18" customHeight="1" x14ac:dyDescent="0.25">
      <c r="A187" s="312" t="s">
        <v>293</v>
      </c>
      <c r="B187" s="302">
        <f>'FY 2016 by Agency'!B191*Inflator!$E$2</f>
        <v>0</v>
      </c>
      <c r="C187" s="302">
        <f>'FY 2016 by Agency'!C191*Inflator!$E$3</f>
        <v>0</v>
      </c>
      <c r="D187" s="302">
        <f t="shared" si="166"/>
        <v>0</v>
      </c>
      <c r="E187" s="302" t="s">
        <v>132</v>
      </c>
      <c r="F187" s="204">
        <f>'FY 2016 by Agency'!F191*Inflator!$E$4</f>
        <v>0</v>
      </c>
      <c r="G187" s="204">
        <f t="shared" si="167"/>
        <v>0</v>
      </c>
      <c r="H187" s="302" t="s">
        <v>132</v>
      </c>
      <c r="I187" s="204">
        <f>'FY 2016 by Agency'!I191*Inflator!$E$5</f>
        <v>118093.71811082188</v>
      </c>
      <c r="J187" s="204">
        <f t="shared" si="168"/>
        <v>118093.71811082188</v>
      </c>
      <c r="K187" s="302" t="s">
        <v>132</v>
      </c>
      <c r="L187" s="204">
        <f>'FY 2016 by Agency'!L191*Inflator!$E$6</f>
        <v>125867.94329334787</v>
      </c>
      <c r="M187" s="204">
        <f t="shared" si="170"/>
        <v>7774.2251825259882</v>
      </c>
      <c r="N187" s="199">
        <f t="shared" si="171"/>
        <v>6.5830979893701666E-2</v>
      </c>
      <c r="O187" s="204">
        <f>'FY 2016 by Agency'!O191*Inflator!$E$7</f>
        <v>116897.75607180569</v>
      </c>
      <c r="P187" s="204">
        <f>O187-L187</f>
        <v>-8970.1872215421754</v>
      </c>
      <c r="Q187" s="304">
        <f>P187/L187</f>
        <v>-7.126665445415481E-2</v>
      </c>
      <c r="R187" s="204">
        <f>'FY 2016 by Agency'!R191*Inflator!$E$8</f>
        <v>123075.59368635439</v>
      </c>
      <c r="S187" s="204">
        <f t="shared" ref="S187:S196" si="215">R187-O187</f>
        <v>6177.8376145486982</v>
      </c>
      <c r="T187" s="304">
        <f>S187/O187</f>
        <v>5.2848213876354438E-2</v>
      </c>
      <c r="U187" s="204">
        <f>'FY 2016 by Agency'!U191*Inflator!$E$9</f>
        <v>135780.29741379307</v>
      </c>
      <c r="V187" s="204">
        <f>U187-R187</f>
        <v>12704.703727438682</v>
      </c>
      <c r="W187" s="304">
        <f>V187/R187</f>
        <v>0.10322683276925988</v>
      </c>
      <c r="X187" s="204">
        <f>'FY 2016 by Agency'!X191*Inflator!$E$10</f>
        <v>147933.52778659892</v>
      </c>
      <c r="Y187" s="206">
        <f t="shared" ref="Y187:Y196" si="216">X187-U187</f>
        <v>12153.230372805847</v>
      </c>
      <c r="Z187" s="304">
        <f t="shared" ref="Z187:Z196" si="217">Y187/U187</f>
        <v>8.9506582356117859E-2</v>
      </c>
      <c r="AA187" s="204">
        <f>'FY 2016 by Agency'!AA191*Inflator!$E$11</f>
        <v>157397.95603695448</v>
      </c>
      <c r="AB187" s="206">
        <f t="shared" ref="AB187:AB196" si="218">AA187-X187</f>
        <v>9464.4282503555587</v>
      </c>
      <c r="AC187" s="304">
        <f t="shared" ref="AC187:AC196" si="219">AB187/X187</f>
        <v>6.3977574198111745E-2</v>
      </c>
      <c r="AD187" s="204" t="e">
        <f>'FY 2016 by Agency'!AD191*Inflator!#REF!</f>
        <v>#REF!</v>
      </c>
      <c r="AE187" s="204">
        <f>'FY 2016 by Agency'!AE191*Inflator!$B$8</f>
        <v>0</v>
      </c>
      <c r="AF187" s="204">
        <f>'FY 2016 by Agency'!AF191*Inflator!$E$12</f>
        <v>134560.53665413536</v>
      </c>
      <c r="AG187" s="204">
        <f t="shared" ref="AG187:AG196" si="220">AF187-AA187</f>
        <v>-22837.41938281912</v>
      </c>
      <c r="AH187" s="304">
        <f t="shared" ref="AH187:AH196" si="221">AG187/AA187</f>
        <v>-0.14509349395526627</v>
      </c>
      <c r="AI187" s="204">
        <f>'FY 2016 by Agency'!AI191*Inflator!$B$8</f>
        <v>0</v>
      </c>
      <c r="AJ187" s="204">
        <f>'FY 2016 by Agency'!AJ191*Inflator!$B$8</f>
        <v>0</v>
      </c>
      <c r="AK187" s="204">
        <f>'FY 2016 by Agency'!AK191</f>
        <v>125408</v>
      </c>
      <c r="AL187" s="204">
        <f>'FY 2016 by Agency'!AL191</f>
        <v>1000</v>
      </c>
      <c r="AM187" s="204">
        <f>'FY 2016 by Agency'!AM191</f>
        <v>126408</v>
      </c>
      <c r="AN187" s="204">
        <f>'FY 2016 by Agency'!AN191</f>
        <v>94636</v>
      </c>
      <c r="AO187" s="204">
        <f>'FY 2016 by Agency'!AO191</f>
        <v>100123</v>
      </c>
      <c r="AP187" s="204">
        <f>'FY 2016 by Agency'!AP191</f>
        <v>0</v>
      </c>
      <c r="AQ187" s="204">
        <f>'FY 2016 by Agency'!AQ191</f>
        <v>0</v>
      </c>
      <c r="AR187" s="204">
        <f>'FY 2016 by Agency'!AR191</f>
        <v>0</v>
      </c>
      <c r="AS187" s="204">
        <f>'FY 2016 by Agency'!AS191</f>
        <v>103877.78606999999</v>
      </c>
      <c r="AT187" s="204" t="e">
        <f t="shared" ref="AT187:AT196" si="222">AR187-AD187</f>
        <v>#REF!</v>
      </c>
      <c r="AU187" s="304" t="e">
        <f t="shared" ref="AU187:AU196" si="223">AT187/AD187</f>
        <v>#REF!</v>
      </c>
      <c r="AV187" s="204">
        <f t="shared" ref="AV187:AV196" si="224">AS187-AF187</f>
        <v>-30682.75058413537</v>
      </c>
      <c r="AW187" s="304">
        <f t="shared" ref="AW187:AW196" si="225">AV187/AF187</f>
        <v>-0.22802191004187272</v>
      </c>
      <c r="AX187" s="206">
        <f>100360+5487</f>
        <v>105847</v>
      </c>
      <c r="AY187" s="206">
        <f>100360+5487</f>
        <v>105847</v>
      </c>
      <c r="AZ187" s="206">
        <f t="shared" ref="AZ187:AZ195" si="226">+AY187-AO187</f>
        <v>5724</v>
      </c>
      <c r="BA187" s="206">
        <f t="shared" ref="BA187:BA196" si="227">+AZ187-AV187</f>
        <v>36406.75058413537</v>
      </c>
      <c r="BB187" s="206">
        <f t="shared" ref="BB187:BB195" si="228">+AZ187+AS187</f>
        <v>109601.78606999999</v>
      </c>
      <c r="BC187" s="304">
        <f t="shared" ref="BC187:BC196" si="229">+BB187/AF187-1</f>
        <v>-0.18548343522356436</v>
      </c>
      <c r="BD187" s="306">
        <v>2300.3420000000001</v>
      </c>
      <c r="BE187" s="199">
        <f t="shared" ref="BE187:BE195" si="230">BD187/AY187</f>
        <v>2.1732708532126561E-2</v>
      </c>
      <c r="BI187" s="200">
        <v>101911</v>
      </c>
      <c r="BJ187" s="206">
        <f>BI187-AY187</f>
        <v>-3936</v>
      </c>
      <c r="BK187" s="200">
        <f>BI187+AP187+AQ187</f>
        <v>101911</v>
      </c>
      <c r="BL187" s="307">
        <f>'FY 2016 by Agency'!BB191*Inflator!$E$13</f>
        <v>114211.67629240462</v>
      </c>
      <c r="BM187" s="204">
        <f>BL187-AF187</f>
        <v>-20348.860361730738</v>
      </c>
      <c r="BN187" s="199">
        <f t="shared" ref="BN187:BN196" si="231">BM187/AF187</f>
        <v>-0.15122457793129923</v>
      </c>
      <c r="BO187" s="204">
        <f>'FY 2016 by Agency'!AX191*Inflator!$E$13</f>
        <v>112049.23191943851</v>
      </c>
      <c r="BP187" s="204">
        <f t="shared" si="185"/>
        <v>-22511.304734696852</v>
      </c>
      <c r="BQ187" s="199">
        <f t="shared" si="186"/>
        <v>-0.16729499818032292</v>
      </c>
      <c r="BR187" s="204">
        <f>'FY 2016 by Agency'!BE191*Inflator!$E$14</f>
        <v>114739.87544696066</v>
      </c>
      <c r="BS187" s="204">
        <f t="shared" si="187"/>
        <v>2690.6435275221593</v>
      </c>
      <c r="BT187" s="199">
        <f t="shared" si="188"/>
        <v>2.4013047491987148E-2</v>
      </c>
      <c r="BU187" s="204">
        <f>'FY 2016 by Agency'!BL191*Inflator!$E$14</f>
        <v>114739.87544696066</v>
      </c>
      <c r="BV187" s="204">
        <f>BU187-BL187</f>
        <v>528.19915455604496</v>
      </c>
      <c r="BW187" s="309">
        <v>111153</v>
      </c>
      <c r="BX187" s="206">
        <f>'FY 2016 by Agency'!BW191*Inflator!E15</f>
        <v>117409.63324538257</v>
      </c>
      <c r="BY187" s="204">
        <f>'FY 2016 by Agency'!BZ191*Inflator!$E$15</f>
        <v>118319.0976253298</v>
      </c>
      <c r="BZ187" s="206">
        <f>BY187-BR187</f>
        <v>3579.2221783691348</v>
      </c>
      <c r="CA187" s="199">
        <f t="shared" si="190"/>
        <v>3.1194230989240145E-2</v>
      </c>
      <c r="CB187" s="308">
        <f>'FY 2016 by Agency'!CF191*Inflator!$E$16</f>
        <v>142943.27663875252</v>
      </c>
      <c r="CC187" s="206">
        <f t="shared" ref="CC187:CC196" si="232">CB187-BY187</f>
        <v>24624.179013422719</v>
      </c>
      <c r="CD187" s="304">
        <f t="shared" ref="CD187:CD196" si="233">CC187/BY187</f>
        <v>0.20811669043824052</v>
      </c>
      <c r="CE187" s="206">
        <f>'FY 2016 by Agency'!CK191*Inflator!$E$17</f>
        <v>130795.33210541231</v>
      </c>
      <c r="CF187" s="206">
        <f>CE187-CB187</f>
        <v>-12147.944533340211</v>
      </c>
      <c r="CG187" s="562">
        <f>CF187/CB187</f>
        <v>-8.498437155628244E-2</v>
      </c>
      <c r="CH187" s="753">
        <f>'FY 2016 by Agency'!CN186*Inflator!$E$18</f>
        <v>0</v>
      </c>
      <c r="CI187" s="753">
        <f>CH187-CE187</f>
        <v>-130795.33210541231</v>
      </c>
      <c r="CJ187" s="66">
        <f>CI187/CE187</f>
        <v>-1</v>
      </c>
    </row>
    <row r="188" spans="1:88" ht="18" customHeight="1" x14ac:dyDescent="0.25">
      <c r="A188" s="313" t="s">
        <v>294</v>
      </c>
      <c r="B188" s="302">
        <f>'FY 2016 by Agency'!B192*Inflator!$E$2</f>
        <v>151261.3528708134</v>
      </c>
      <c r="C188" s="302">
        <f>'FY 2016 by Agency'!C192*Inflator!$E$3</f>
        <v>141675.30602782071</v>
      </c>
      <c r="D188" s="302">
        <f t="shared" si="166"/>
        <v>-9586.0468429926841</v>
      </c>
      <c r="E188" s="303">
        <f>(C188-B188)/B188</f>
        <v>-6.3374065225899209E-2</v>
      </c>
      <c r="F188" s="204">
        <f>'FY 2016 by Agency'!F192*Inflator!$E$4</f>
        <v>165081.03882755997</v>
      </c>
      <c r="G188" s="204">
        <f t="shared" si="167"/>
        <v>23405.732799739257</v>
      </c>
      <c r="H188" s="199">
        <f>(F188-C188)/C188</f>
        <v>0.16520686247992353</v>
      </c>
      <c r="I188" s="204">
        <f>'FY 2016 by Agency'!I192*Inflator!$E$5</f>
        <v>31757.04834510971</v>
      </c>
      <c r="J188" s="204">
        <f t="shared" si="168"/>
        <v>-133323.99048245026</v>
      </c>
      <c r="K188" s="199">
        <f t="shared" si="169"/>
        <v>-0.8076275229992802</v>
      </c>
      <c r="L188" s="204">
        <f>'FY 2016 by Agency'!L192*Inflator!$E$6</f>
        <v>27226.159214830972</v>
      </c>
      <c r="M188" s="204">
        <f t="shared" si="170"/>
        <v>-4530.8891302787379</v>
      </c>
      <c r="N188" s="199">
        <f t="shared" si="171"/>
        <v>-0.14267349663736784</v>
      </c>
      <c r="O188" s="204">
        <f>'FY 2016 by Agency'!O192*Inflator!$E$7</f>
        <v>35215.805702217527</v>
      </c>
      <c r="P188" s="204">
        <f t="shared" ref="P188:P195" si="234">O188-L188</f>
        <v>7989.6464873865552</v>
      </c>
      <c r="Q188" s="304">
        <f>P188/L188</f>
        <v>0.29345477723623742</v>
      </c>
      <c r="R188" s="204">
        <f>'FY 2016 by Agency'!R192*Inflator!$E$8</f>
        <v>38773.220977596742</v>
      </c>
      <c r="S188" s="204">
        <f t="shared" si="215"/>
        <v>3557.415275379215</v>
      </c>
      <c r="T188" s="304">
        <f>S188/O188</f>
        <v>0.10101757447949589</v>
      </c>
      <c r="U188" s="204">
        <f>'FY 2016 by Agency'!U192*Inflator!$E$9</f>
        <v>55930.124005305035</v>
      </c>
      <c r="V188" s="204">
        <f t="shared" ref="V188:V196" si="235">U188-R188</f>
        <v>17156.903027708293</v>
      </c>
      <c r="W188" s="394" t="s">
        <v>132</v>
      </c>
      <c r="X188" s="204">
        <f>'FY 2016 by Agency'!X192*Inflator!$E$10</f>
        <v>155941.59288663068</v>
      </c>
      <c r="Y188" s="206">
        <f t="shared" si="216"/>
        <v>100011.46888132565</v>
      </c>
      <c r="Z188" s="304">
        <f t="shared" si="217"/>
        <v>1.7881503154157044</v>
      </c>
      <c r="AA188" s="204">
        <f>'FY 2016 by Agency'!AA192*Inflator!$E$11</f>
        <v>142406.30805989171</v>
      </c>
      <c r="AB188" s="206">
        <f t="shared" si="218"/>
        <v>-13535.284826738964</v>
      </c>
      <c r="AC188" s="304">
        <f t="shared" si="219"/>
        <v>-8.679714357271634E-2</v>
      </c>
      <c r="AD188" s="204" t="e">
        <f>'FY 2016 by Agency'!AD192*Inflator!#REF!</f>
        <v>#REF!</v>
      </c>
      <c r="AE188" s="204">
        <f>'FY 2016 by Agency'!AE192*Inflator!$B$8</f>
        <v>0</v>
      </c>
      <c r="AF188" s="204">
        <f>'FY 2016 by Agency'!AF192*Inflator!$E$12</f>
        <v>120403.63627819551</v>
      </c>
      <c r="AG188" s="204">
        <f t="shared" si="220"/>
        <v>-22002.671781696205</v>
      </c>
      <c r="AH188" s="304">
        <f t="shared" si="221"/>
        <v>-0.15450630018750686</v>
      </c>
      <c r="AI188" s="204">
        <f>'FY 2016 by Agency'!AI192*Inflator!$B$8</f>
        <v>0</v>
      </c>
      <c r="AJ188" s="204">
        <f>'FY 2016 by Agency'!AJ192*Inflator!$B$8</f>
        <v>0</v>
      </c>
      <c r="AK188" s="204">
        <f>'FY 2016 by Agency'!AK192</f>
        <v>15</v>
      </c>
      <c r="AL188" s="204">
        <f>'FY 2016 by Agency'!AL192</f>
        <v>28</v>
      </c>
      <c r="AM188" s="204">
        <f>'FY 2016 by Agency'!AM192</f>
        <v>43</v>
      </c>
      <c r="AN188" s="204">
        <f>'FY 2016 by Agency'!AN192</f>
        <v>0</v>
      </c>
      <c r="AO188" s="204">
        <f>'FY 2016 by Agency'!AO192</f>
        <v>95490</v>
      </c>
      <c r="AP188" s="204">
        <f>'FY 2016 by Agency'!AP192</f>
        <v>0</v>
      </c>
      <c r="AQ188" s="204">
        <f>'FY 2016 by Agency'!AQ192</f>
        <v>0</v>
      </c>
      <c r="AR188" s="204">
        <f>'FY 2016 by Agency'!AR192</f>
        <v>0</v>
      </c>
      <c r="AS188" s="204">
        <f>'FY 2016 by Agency'!AS192</f>
        <v>97436.505439999994</v>
      </c>
      <c r="AT188" s="204" t="e">
        <f t="shared" si="222"/>
        <v>#REF!</v>
      </c>
      <c r="AU188" s="304" t="e">
        <f t="shared" si="223"/>
        <v>#REF!</v>
      </c>
      <c r="AV188" s="204">
        <f t="shared" si="224"/>
        <v>-22967.130838195517</v>
      </c>
      <c r="AW188" s="304">
        <f t="shared" si="225"/>
        <v>-0.19075113965104348</v>
      </c>
      <c r="AX188" s="206">
        <f>2951+15000+76899</f>
        <v>94850</v>
      </c>
      <c r="AY188" s="206">
        <f>2951+15000+76899</f>
        <v>94850</v>
      </c>
      <c r="AZ188" s="206">
        <f t="shared" si="226"/>
        <v>-640</v>
      </c>
      <c r="BA188" s="206">
        <f t="shared" si="227"/>
        <v>22327.130838195517</v>
      </c>
      <c r="BB188" s="206">
        <f t="shared" si="228"/>
        <v>96796.505439999994</v>
      </c>
      <c r="BC188" s="304">
        <f t="shared" si="229"/>
        <v>-0.19606659373352042</v>
      </c>
      <c r="BD188" s="306">
        <v>295.10000000000002</v>
      </c>
      <c r="BE188" s="199">
        <f t="shared" si="230"/>
        <v>3.1112282551396947E-3</v>
      </c>
      <c r="BI188" s="200">
        <v>93020</v>
      </c>
      <c r="BJ188" s="206">
        <f t="shared" ref="BJ188:BJ195" si="236">BI188-AY188</f>
        <v>-1830</v>
      </c>
      <c r="BK188" s="200">
        <f t="shared" ref="BK188:BK195" si="237">BI188+AP188+AQ188</f>
        <v>93020</v>
      </c>
      <c r="BL188" s="307">
        <f>'FY 2016 by Agency'!BB192*Inflator!$E$13</f>
        <v>107129.60912429661</v>
      </c>
      <c r="BM188" s="204">
        <f t="shared" ref="BM188:BM195" si="238">BL188-AF188</f>
        <v>-13274.027153898904</v>
      </c>
      <c r="BN188" s="199">
        <f t="shared" si="231"/>
        <v>-0.11024606535328338</v>
      </c>
      <c r="BO188" s="204">
        <f>'FY 2016 by Agency'!AX192*Inflator!$E$13</f>
        <v>111421.42813548977</v>
      </c>
      <c r="BP188" s="204">
        <f t="shared" si="185"/>
        <v>-8982.2081427057419</v>
      </c>
      <c r="BQ188" s="199">
        <f t="shared" si="186"/>
        <v>-7.4600804596566608E-2</v>
      </c>
      <c r="BR188" s="204">
        <f>'FY 2016 by Agency'!BE192*Inflator!$E$14</f>
        <v>134569.25864123955</v>
      </c>
      <c r="BS188" s="204">
        <f t="shared" si="187"/>
        <v>23147.830505749778</v>
      </c>
      <c r="BT188" s="199">
        <f t="shared" si="188"/>
        <v>0.20775025857325885</v>
      </c>
      <c r="BU188" s="204">
        <f>'FY 2016 by Agency'!BL192*Inflator!$E$14</f>
        <v>134569.25864123955</v>
      </c>
      <c r="BV188" s="204">
        <f t="shared" ref="BV188:BV196" si="239">BU188-BL188</f>
        <v>27439.64951694294</v>
      </c>
      <c r="BW188" s="309">
        <f>70623+1360+50600</f>
        <v>122583</v>
      </c>
      <c r="BX188" s="206">
        <f>'FY 2016 by Agency'!BW192*Inflator!E15</f>
        <v>129547.44415127527</v>
      </c>
      <c r="BY188" s="204">
        <f>'FY 2016 by Agency'!BZ192*Inflator!$E$15</f>
        <v>74882.402814423913</v>
      </c>
      <c r="BZ188" s="206">
        <f t="shared" ref="BZ188:BZ195" si="240">BY188-BR188</f>
        <v>-59686.855826815634</v>
      </c>
      <c r="CA188" s="199">
        <f t="shared" si="190"/>
        <v>-0.44354005089632143</v>
      </c>
      <c r="CB188" s="308">
        <f>'FY 2016 by Agency'!CF192*Inflator!$E$16</f>
        <v>86899.615651169501</v>
      </c>
      <c r="CC188" s="206">
        <f t="shared" si="232"/>
        <v>12017.212836745588</v>
      </c>
      <c r="CD188" s="304">
        <f t="shared" si="233"/>
        <v>0.16048113288414434</v>
      </c>
      <c r="CE188" s="206">
        <f>'FY 2016 by Agency'!CK192*Inflator!$E$17</f>
        <v>105319.08982714651</v>
      </c>
      <c r="CF188" s="206">
        <f t="shared" ref="CF188:CF195" si="241">CE188-CB188</f>
        <v>18419.474175977011</v>
      </c>
      <c r="CG188" s="562">
        <f t="shared" ref="CG188:CG196" si="242">CF188/CB188</f>
        <v>0.21196266563382804</v>
      </c>
      <c r="CH188" s="753">
        <f>'FY 2016 by Agency'!CN187*Inflator!$E$18</f>
        <v>0</v>
      </c>
      <c r="CI188" s="753">
        <f t="shared" ref="CI188:CI196" si="243">CH188-CE188</f>
        <v>-105319.08982714651</v>
      </c>
      <c r="CJ188" s="66">
        <f t="shared" ref="CJ188:CJ196" si="244">CI188/CE188</f>
        <v>-1</v>
      </c>
    </row>
    <row r="189" spans="1:88" ht="18" customHeight="1" x14ac:dyDescent="0.25">
      <c r="A189" s="313" t="s">
        <v>295</v>
      </c>
      <c r="B189" s="302">
        <f>'FY 2016 by Agency'!B193*Inflator!$E$2</f>
        <v>34961.167464114835</v>
      </c>
      <c r="C189" s="302">
        <f>'FY 2016 by Agency'!C193*Inflator!$E$3</f>
        <v>37873.265842349305</v>
      </c>
      <c r="D189" s="302">
        <f t="shared" si="166"/>
        <v>2912.0983782344701</v>
      </c>
      <c r="E189" s="303">
        <f>(C189-B189)/B189</f>
        <v>8.3295226946397974E-2</v>
      </c>
      <c r="F189" s="204">
        <f>'FY 2016 by Agency'!F193*Inflator!$E$4</f>
        <v>44673.35972592311</v>
      </c>
      <c r="G189" s="204">
        <f t="shared" si="167"/>
        <v>6800.0938835738052</v>
      </c>
      <c r="H189" s="199">
        <f>(F189-C189)/C189</f>
        <v>0.17954865344540857</v>
      </c>
      <c r="I189" s="204">
        <f>'FY 2016 by Agency'!I193*Inflator!$E$5</f>
        <v>47325.384901450358</v>
      </c>
      <c r="J189" s="204">
        <f t="shared" si="168"/>
        <v>2652.0251755272475</v>
      </c>
      <c r="K189" s="199">
        <f t="shared" si="169"/>
        <v>5.9364802463879318E-2</v>
      </c>
      <c r="L189" s="204">
        <f>'FY 2016 by Agency'!L193*Inflator!$E$6</f>
        <v>43199.32824427481</v>
      </c>
      <c r="M189" s="204">
        <f t="shared" si="170"/>
        <v>-4126.056657175548</v>
      </c>
      <c r="N189" s="199">
        <f t="shared" si="171"/>
        <v>-8.7184851549915204E-2</v>
      </c>
      <c r="O189" s="204">
        <f>'FY 2016 by Agency'!O193*Inflator!$E$7</f>
        <v>47933.469904963036</v>
      </c>
      <c r="P189" s="204">
        <f t="shared" si="234"/>
        <v>4734.1416606882267</v>
      </c>
      <c r="Q189" s="304">
        <f>P189/L189</f>
        <v>0.10958831660341016</v>
      </c>
      <c r="R189" s="204">
        <f>'FY 2016 by Agency'!R193*Inflator!$E$8</f>
        <v>45762.747454175151</v>
      </c>
      <c r="S189" s="204">
        <f t="shared" si="215"/>
        <v>-2170.7224507878855</v>
      </c>
      <c r="T189" s="304">
        <f>S189/O189</f>
        <v>-4.5286152976025812E-2</v>
      </c>
      <c r="U189" s="204">
        <f>'FY 2016 by Agency'!U193*Inflator!$E$9</f>
        <v>44858.305702917765</v>
      </c>
      <c r="V189" s="204">
        <f t="shared" si="235"/>
        <v>-904.44175125738548</v>
      </c>
      <c r="W189" s="304">
        <f t="shared" ref="W189:W196" si="245">V189/R189</f>
        <v>-1.976371178682081E-2</v>
      </c>
      <c r="X189" s="204">
        <f>'FY 2016 by Agency'!X193*Inflator!$E$10</f>
        <v>44242.872022864402</v>
      </c>
      <c r="Y189" s="206">
        <f t="shared" si="216"/>
        <v>-615.43368005336379</v>
      </c>
      <c r="Z189" s="304">
        <f t="shared" si="217"/>
        <v>-1.3719503454481419E-2</v>
      </c>
      <c r="AA189" s="204">
        <f>'FY 2016 by Agency'!AA193*Inflator!$E$11</f>
        <v>49301.06913029628</v>
      </c>
      <c r="AB189" s="206">
        <f t="shared" si="218"/>
        <v>5058.197107431879</v>
      </c>
      <c r="AC189" s="304">
        <f t="shared" si="219"/>
        <v>0.11432795558158698</v>
      </c>
      <c r="AD189" s="204" t="e">
        <f>'FY 2016 by Agency'!AD193*Inflator!#REF!</f>
        <v>#REF!</v>
      </c>
      <c r="AE189" s="204">
        <f>'FY 2016 by Agency'!AE193*Inflator!$B$8</f>
        <v>0</v>
      </c>
      <c r="AF189" s="204">
        <f>'FY 2016 by Agency'!AF193*Inflator!$E$12</f>
        <v>40900.596804511282</v>
      </c>
      <c r="AG189" s="204">
        <f t="shared" si="220"/>
        <v>-8400.4723257849982</v>
      </c>
      <c r="AH189" s="304">
        <f t="shared" si="221"/>
        <v>-0.17039128104065346</v>
      </c>
      <c r="AI189" s="204">
        <f>'FY 2016 by Agency'!AI193*Inflator!$B$8</f>
        <v>0</v>
      </c>
      <c r="AJ189" s="204">
        <f>'FY 2016 by Agency'!AJ193*Inflator!$B$8</f>
        <v>0</v>
      </c>
      <c r="AK189" s="204">
        <f>'FY 2016 by Agency'!AK193</f>
        <v>27794</v>
      </c>
      <c r="AL189" s="204">
        <f>'FY 2016 by Agency'!AL193</f>
        <v>0</v>
      </c>
      <c r="AM189" s="204">
        <f>'FY 2016 by Agency'!AM193</f>
        <v>27794</v>
      </c>
      <c r="AN189" s="204">
        <f>'FY 2016 by Agency'!AN193</f>
        <v>24182</v>
      </c>
      <c r="AO189" s="204">
        <f>'FY 2016 by Agency'!AO193</f>
        <v>36476</v>
      </c>
      <c r="AP189" s="204">
        <f>'FY 2016 by Agency'!AP193</f>
        <v>0</v>
      </c>
      <c r="AQ189" s="204">
        <f>'FY 2016 by Agency'!AQ193</f>
        <v>0</v>
      </c>
      <c r="AR189" s="204">
        <f>'FY 2016 by Agency'!AR193</f>
        <v>0</v>
      </c>
      <c r="AS189" s="204">
        <f>'FY 2016 by Agency'!AS193</f>
        <v>34866.127999999997</v>
      </c>
      <c r="AT189" s="204" t="e">
        <f t="shared" si="222"/>
        <v>#REF!</v>
      </c>
      <c r="AU189" s="304" t="e">
        <f t="shared" si="223"/>
        <v>#REF!</v>
      </c>
      <c r="AV189" s="204">
        <f t="shared" si="224"/>
        <v>-6034.4688045112853</v>
      </c>
      <c r="AW189" s="304">
        <f t="shared" si="225"/>
        <v>-0.1475398716882706</v>
      </c>
      <c r="AX189" s="206">
        <f>24379+12294</f>
        <v>36673</v>
      </c>
      <c r="AY189" s="206">
        <f>24379+12294</f>
        <v>36673</v>
      </c>
      <c r="AZ189" s="206">
        <f t="shared" si="226"/>
        <v>197</v>
      </c>
      <c r="BA189" s="206">
        <f t="shared" si="227"/>
        <v>6231.4688045112853</v>
      </c>
      <c r="BB189" s="206">
        <f t="shared" si="228"/>
        <v>35063.127999999997</v>
      </c>
      <c r="BC189" s="304">
        <f t="shared" si="229"/>
        <v>-0.14272331605360389</v>
      </c>
      <c r="BD189" s="306">
        <v>1072.9069999999999</v>
      </c>
      <c r="BE189" s="199">
        <f t="shared" si="230"/>
        <v>2.9256046682845687E-2</v>
      </c>
      <c r="BI189" s="200">
        <v>35689</v>
      </c>
      <c r="BJ189" s="206">
        <f t="shared" si="236"/>
        <v>-984</v>
      </c>
      <c r="BK189" s="200">
        <f t="shared" si="237"/>
        <v>35689</v>
      </c>
      <c r="BL189" s="307">
        <f>'FY 2016 by Agency'!BB193*Inflator!$E$13</f>
        <v>38334.653397619768</v>
      </c>
      <c r="BM189" s="204">
        <f t="shared" si="238"/>
        <v>-2565.9434068915143</v>
      </c>
      <c r="BN189" s="199">
        <f t="shared" si="231"/>
        <v>-6.273608718121429E-2</v>
      </c>
      <c r="BO189" s="204">
        <f>'FY 2016 by Agency'!AX193*Inflator!$E$13</f>
        <v>40888.607567897467</v>
      </c>
      <c r="BP189" s="204">
        <f t="shared" si="185"/>
        <v>-11.989236613815592</v>
      </c>
      <c r="BQ189" s="199">
        <f t="shared" si="186"/>
        <v>-2.9313109222145126E-4</v>
      </c>
      <c r="BR189" s="204">
        <f>'FY 2016 by Agency'!BE193*Inflator!$E$14</f>
        <v>38098.826281287242</v>
      </c>
      <c r="BS189" s="204">
        <f t="shared" si="187"/>
        <v>-2789.7812866102249</v>
      </c>
      <c r="BT189" s="199">
        <f t="shared" si="188"/>
        <v>-6.8228816106727555E-2</v>
      </c>
      <c r="BU189" s="204">
        <f>'FY 2016 by Agency'!BL193*Inflator!$E$14</f>
        <v>38098.826281287242</v>
      </c>
      <c r="BV189" s="204">
        <f t="shared" si="239"/>
        <v>-235.8271163325262</v>
      </c>
      <c r="BW189" s="309">
        <f>34060+2200</f>
        <v>36260</v>
      </c>
      <c r="BX189" s="206">
        <f>'FY 2016 by Agency'!BW193*Inflator!E15</f>
        <v>38301.020228671943</v>
      </c>
      <c r="BY189" s="204">
        <f>'FY 2016 by Agency'!BZ193*Inflator!$E$15</f>
        <v>34109.66754617414</v>
      </c>
      <c r="BZ189" s="206">
        <f t="shared" si="240"/>
        <v>-3989.158735113102</v>
      </c>
      <c r="CA189" s="199">
        <f t="shared" si="190"/>
        <v>-0.10470555459269966</v>
      </c>
      <c r="CB189" s="308">
        <f>'FY 2016 by Agency'!CF193*Inflator!$E$16</f>
        <v>35406.784002310131</v>
      </c>
      <c r="CC189" s="206">
        <f t="shared" si="232"/>
        <v>1297.116456135991</v>
      </c>
      <c r="CD189" s="304">
        <f t="shared" si="233"/>
        <v>3.8027824644731263E-2</v>
      </c>
      <c r="CE189" s="206">
        <f>'FY 2016 by Agency'!CK193*Inflator!$E$17</f>
        <v>39662.608104278836</v>
      </c>
      <c r="CF189" s="206">
        <f t="shared" si="241"/>
        <v>4255.8241019687048</v>
      </c>
      <c r="CG189" s="562">
        <f t="shared" si="242"/>
        <v>0.12019798527002712</v>
      </c>
      <c r="CH189" s="753">
        <f>'FY 2016 by Agency'!CN188*Inflator!$E$18</f>
        <v>0</v>
      </c>
      <c r="CI189" s="753">
        <f t="shared" si="243"/>
        <v>-39662.608104278836</v>
      </c>
      <c r="CJ189" s="66">
        <f t="shared" si="244"/>
        <v>-1</v>
      </c>
    </row>
    <row r="190" spans="1:88" ht="18" customHeight="1" x14ac:dyDescent="0.25">
      <c r="A190" s="313" t="s">
        <v>296</v>
      </c>
      <c r="B190" s="302">
        <f>'FY 2016 by Agency'!B194*Inflator!$E$2</f>
        <v>0</v>
      </c>
      <c r="C190" s="302">
        <f>'FY 2016 by Agency'!C194*Inflator!$E$3</f>
        <v>0</v>
      </c>
      <c r="D190" s="302" t="s">
        <v>132</v>
      </c>
      <c r="E190" s="302" t="s">
        <v>132</v>
      </c>
      <c r="F190" s="204">
        <f>'FY 2016 by Agency'!F194*Inflator!$E$4</f>
        <v>3712.7221164826801</v>
      </c>
      <c r="G190" s="204">
        <f t="shared" si="167"/>
        <v>3712.7221164826801</v>
      </c>
      <c r="H190" s="302" t="s">
        <v>132</v>
      </c>
      <c r="I190" s="204">
        <f>'FY 2016 by Agency'!I194*Inflator!$E$5</f>
        <v>3842.8426924507253</v>
      </c>
      <c r="J190" s="204">
        <f t="shared" si="168"/>
        <v>130.12057596804516</v>
      </c>
      <c r="K190" s="394" t="s">
        <v>132</v>
      </c>
      <c r="L190" s="204">
        <f>'FY 2016 by Agency'!L194*Inflator!$E$6</f>
        <v>2589.2878953107961</v>
      </c>
      <c r="M190" s="204">
        <f t="shared" si="170"/>
        <v>-1253.5547971399292</v>
      </c>
      <c r="N190" s="394" t="s">
        <v>132</v>
      </c>
      <c r="O190" s="204">
        <f>'FY 2016 by Agency'!O194*Inflator!$E$7</f>
        <v>5460.935586061245</v>
      </c>
      <c r="P190" s="204">
        <f t="shared" si="234"/>
        <v>2871.6476907504489</v>
      </c>
      <c r="Q190" s="394" t="s">
        <v>132</v>
      </c>
      <c r="R190" s="204">
        <f>'FY 2016 by Agency'!R194*Inflator!$E$8</f>
        <v>3673.9348268839103</v>
      </c>
      <c r="S190" s="204">
        <f t="shared" si="215"/>
        <v>-1787.0007591773347</v>
      </c>
      <c r="T190" s="394" t="s">
        <v>132</v>
      </c>
      <c r="U190" s="204">
        <f>'FY 2016 by Agency'!U194*Inflator!$E$9</f>
        <v>32246.611074270553</v>
      </c>
      <c r="V190" s="204">
        <f t="shared" si="235"/>
        <v>28572.676247386644</v>
      </c>
      <c r="W190" s="394" t="s">
        <v>132</v>
      </c>
      <c r="X190" s="204">
        <f>'FY 2016 by Agency'!X194*Inflator!$E$10</f>
        <v>42867.576373451891</v>
      </c>
      <c r="Y190" s="206">
        <f t="shared" si="216"/>
        <v>10620.965299181338</v>
      </c>
      <c r="Z190" s="304">
        <f t="shared" si="217"/>
        <v>0.32936686818714311</v>
      </c>
      <c r="AA190" s="204">
        <f>'FY 2016 by Agency'!AA194*Inflator!$E$11</f>
        <v>66265.815864925142</v>
      </c>
      <c r="AB190" s="206">
        <f t="shared" si="218"/>
        <v>23398.23949147325</v>
      </c>
      <c r="AC190" s="304">
        <f t="shared" si="219"/>
        <v>0.54582604082007069</v>
      </c>
      <c r="AD190" s="204" t="e">
        <f>'FY 2016 by Agency'!AD194*Inflator!#REF!</f>
        <v>#REF!</v>
      </c>
      <c r="AE190" s="204">
        <f>'FY 2016 by Agency'!AE194*Inflator!$B$8</f>
        <v>0</v>
      </c>
      <c r="AF190" s="204">
        <f>'FY 2016 by Agency'!AF194*Inflator!$E$12</f>
        <v>52404.912593984969</v>
      </c>
      <c r="AG190" s="204">
        <f t="shared" si="220"/>
        <v>-13860.903270940173</v>
      </c>
      <c r="AH190" s="304">
        <f t="shared" si="221"/>
        <v>-0.20917124598894171</v>
      </c>
      <c r="AI190" s="204">
        <f>'FY 2016 by Agency'!AI194*Inflator!$B$8</f>
        <v>0</v>
      </c>
      <c r="AJ190" s="204">
        <f>'FY 2016 by Agency'!AJ194*Inflator!$B$8</f>
        <v>0</v>
      </c>
      <c r="AK190" s="204">
        <f>'FY 2016 by Agency'!AK194</f>
        <v>12630</v>
      </c>
      <c r="AL190" s="204">
        <f>'FY 2016 by Agency'!AL194</f>
        <v>6507</v>
      </c>
      <c r="AM190" s="204">
        <f>'FY 2016 by Agency'!AM194</f>
        <v>19137</v>
      </c>
      <c r="AN190" s="204">
        <f>'FY 2016 by Agency'!AN194</f>
        <v>13925</v>
      </c>
      <c r="AO190" s="204">
        <f>'FY 2016 by Agency'!AO194</f>
        <v>50811</v>
      </c>
      <c r="AP190" s="204">
        <f>'FY 2016 by Agency'!AP194</f>
        <v>0</v>
      </c>
      <c r="AQ190" s="204">
        <f>'FY 2016 by Agency'!AQ194</f>
        <v>0</v>
      </c>
      <c r="AR190" s="204">
        <f>'FY 2016 by Agency'!AR194</f>
        <v>0</v>
      </c>
      <c r="AS190" s="204">
        <f>'FY 2016 by Agency'!AS194</f>
        <v>37410.08898</v>
      </c>
      <c r="AT190" s="204" t="e">
        <f t="shared" si="222"/>
        <v>#REF!</v>
      </c>
      <c r="AU190" s="304" t="e">
        <f t="shared" si="223"/>
        <v>#REF!</v>
      </c>
      <c r="AV190" s="204">
        <f t="shared" si="224"/>
        <v>-14994.823613984969</v>
      </c>
      <c r="AW190" s="304">
        <f t="shared" si="225"/>
        <v>-0.28613393042289081</v>
      </c>
      <c r="AX190" s="206">
        <f>13636+35164</f>
        <v>48800</v>
      </c>
      <c r="AY190" s="206">
        <f>13636+35164</f>
        <v>48800</v>
      </c>
      <c r="AZ190" s="206">
        <f t="shared" si="226"/>
        <v>-2011</v>
      </c>
      <c r="BA190" s="206">
        <f t="shared" si="227"/>
        <v>12983.823613984969</v>
      </c>
      <c r="BB190" s="206">
        <f t="shared" si="228"/>
        <v>35399.08898</v>
      </c>
      <c r="BC190" s="304">
        <f t="shared" si="229"/>
        <v>-0.32450819536214426</v>
      </c>
      <c r="BD190" s="306">
        <v>731.86599999999999</v>
      </c>
      <c r="BE190" s="199">
        <f t="shared" si="230"/>
        <v>1.4997254098360656E-2</v>
      </c>
      <c r="BI190" s="200">
        <v>44577</v>
      </c>
      <c r="BJ190" s="206">
        <f t="shared" si="236"/>
        <v>-4223</v>
      </c>
      <c r="BK190" s="200">
        <f t="shared" si="237"/>
        <v>44577</v>
      </c>
      <c r="BL190" s="307">
        <f>'FY 2016 by Agency'!BB194*Inflator!$E$13</f>
        <v>41131.690752194081</v>
      </c>
      <c r="BM190" s="204">
        <f t="shared" si="238"/>
        <v>-11273.221841790888</v>
      </c>
      <c r="BN190" s="199">
        <f t="shared" si="231"/>
        <v>-0.21511765374234834</v>
      </c>
      <c r="BO190" s="204">
        <f>'FY 2016 by Agency'!AX194*Inflator!$E$13</f>
        <v>49011.57491608178</v>
      </c>
      <c r="BP190" s="204">
        <f t="shared" si="185"/>
        <v>-3393.3376779031896</v>
      </c>
      <c r="BQ190" s="199">
        <f t="shared" si="186"/>
        <v>-6.4752281989163676E-2</v>
      </c>
      <c r="BR190" s="204">
        <f>'FY 2016 by Agency'!BE194*Inflator!$E$14</f>
        <v>46662.929678188317</v>
      </c>
      <c r="BS190" s="204">
        <f t="shared" si="187"/>
        <v>-2348.6452378934628</v>
      </c>
      <c r="BT190" s="199">
        <f t="shared" si="188"/>
        <v>-4.7920215620796555E-2</v>
      </c>
      <c r="BU190" s="204">
        <f>'FY 2016 by Agency'!BL194*Inflator!$E$14</f>
        <v>46662.929678188317</v>
      </c>
      <c r="BV190" s="204">
        <f t="shared" si="239"/>
        <v>5531.2389259942356</v>
      </c>
      <c r="BW190" s="309">
        <v>65433</v>
      </c>
      <c r="BX190" s="206">
        <f>'FY 2016 by Agency'!BW194*Inflator!E15</f>
        <v>69116.124010554078</v>
      </c>
      <c r="BY190" s="204">
        <f>'FY 2016 by Agency'!BZ194*Inflator!$E$15</f>
        <v>50683.890061565522</v>
      </c>
      <c r="BZ190" s="206">
        <f t="shared" si="240"/>
        <v>4020.9603833772053</v>
      </c>
      <c r="CA190" s="199">
        <f t="shared" si="190"/>
        <v>8.6170337162879113E-2</v>
      </c>
      <c r="CB190" s="308">
        <f>'FY 2016 by Agency'!CF194*Inflator!$E$16</f>
        <v>56506.651169506207</v>
      </c>
      <c r="CC190" s="206">
        <f t="shared" si="232"/>
        <v>5822.7611079406852</v>
      </c>
      <c r="CD190" s="304">
        <f t="shared" si="233"/>
        <v>0.11488386350905189</v>
      </c>
      <c r="CE190" s="206">
        <f>'FY 2016 by Agency'!CK194*Inflator!$E$17</f>
        <v>80977.14423349392</v>
      </c>
      <c r="CF190" s="206">
        <f t="shared" si="241"/>
        <v>24470.493063987713</v>
      </c>
      <c r="CG190" s="562">
        <f t="shared" si="242"/>
        <v>0.43305509276389759</v>
      </c>
      <c r="CH190" s="753">
        <f>'FY 2016 by Agency'!CN189*Inflator!$E$18</f>
        <v>0</v>
      </c>
      <c r="CI190" s="753">
        <f t="shared" si="243"/>
        <v>-80977.14423349392</v>
      </c>
      <c r="CJ190" s="66">
        <f t="shared" si="244"/>
        <v>-1</v>
      </c>
    </row>
    <row r="191" spans="1:88" ht="18" customHeight="1" x14ac:dyDescent="0.25">
      <c r="A191" s="313" t="s">
        <v>297</v>
      </c>
      <c r="B191" s="302">
        <f>'FY 2016 by Agency'!B195*Inflator!$E$2</f>
        <v>843.28588516746413</v>
      </c>
      <c r="C191" s="302">
        <f>'FY 2016 by Agency'!C195*Inflator!$E$3</f>
        <v>1071.9899536321484</v>
      </c>
      <c r="D191" s="302">
        <f t="shared" si="166"/>
        <v>228.70406846468427</v>
      </c>
      <c r="E191" s="303">
        <f>(C191-B191)/B191</f>
        <v>0.27120585377670231</v>
      </c>
      <c r="F191" s="204">
        <f>'FY 2016 by Agency'!F195*Inflator!$E$4</f>
        <v>1312.550818424058</v>
      </c>
      <c r="G191" s="204">
        <f t="shared" si="167"/>
        <v>240.56086479190958</v>
      </c>
      <c r="H191" s="199">
        <f>(F191-C191)/C191</f>
        <v>0.22440589482843012</v>
      </c>
      <c r="I191" s="204">
        <f>'FY 2016 by Agency'!I195*Inflator!$E$5</f>
        <v>1456.4748977314989</v>
      </c>
      <c r="J191" s="204">
        <f t="shared" si="168"/>
        <v>143.92407930744093</v>
      </c>
      <c r="K191" s="199">
        <f t="shared" si="169"/>
        <v>0.10965219577573876</v>
      </c>
      <c r="L191" s="204">
        <f>'FY 2016 by Agency'!L195*Inflator!$E$6</f>
        <v>1599.1504907306435</v>
      </c>
      <c r="M191" s="204">
        <f t="shared" si="170"/>
        <v>142.67559299914456</v>
      </c>
      <c r="N191" s="199">
        <f t="shared" si="171"/>
        <v>9.7959527638523572E-2</v>
      </c>
      <c r="O191" s="204">
        <f>'FY 2016 by Agency'!O195*Inflator!$E$7</f>
        <v>1525.6631467793029</v>
      </c>
      <c r="P191" s="204">
        <f t="shared" si="234"/>
        <v>-73.487343951340563</v>
      </c>
      <c r="Q191" s="304">
        <f>P191/L191</f>
        <v>-4.595398893181378E-2</v>
      </c>
      <c r="R191" s="204">
        <f>'FY 2016 by Agency'!R195*Inflator!$E$8</f>
        <v>1405.2433808553972</v>
      </c>
      <c r="S191" s="204">
        <f t="shared" si="215"/>
        <v>-120.41976592390574</v>
      </c>
      <c r="T191" s="304">
        <f>S191/O191</f>
        <v>-7.8929458431314686E-2</v>
      </c>
      <c r="U191" s="204">
        <f>'FY 2016 by Agency'!U195*Inflator!$E$9</f>
        <v>1512.399867374005</v>
      </c>
      <c r="V191" s="204">
        <f t="shared" si="235"/>
        <v>107.15648651860784</v>
      </c>
      <c r="W191" s="304">
        <f t="shared" si="245"/>
        <v>7.6254752720044644E-2</v>
      </c>
      <c r="X191" s="204">
        <f>'FY 2016 by Agency'!X195*Inflator!$E$10</f>
        <v>1853.5598602731027</v>
      </c>
      <c r="Y191" s="206">
        <f t="shared" si="216"/>
        <v>341.15999289909769</v>
      </c>
      <c r="Z191" s="304">
        <f t="shared" si="217"/>
        <v>0.22557525973038942</v>
      </c>
      <c r="AA191" s="204">
        <f>'FY 2016 by Agency'!AA195*Inflator!$E$11</f>
        <v>2211.844855049379</v>
      </c>
      <c r="AB191" s="206">
        <f t="shared" si="218"/>
        <v>358.28499477627633</v>
      </c>
      <c r="AC191" s="304">
        <f t="shared" si="219"/>
        <v>0.19329561588773658</v>
      </c>
      <c r="AD191" s="204" t="e">
        <f>'FY 2016 by Agency'!AD195*Inflator!#REF!</f>
        <v>#REF!</v>
      </c>
      <c r="AE191" s="204">
        <f>'FY 2016 by Agency'!AE195*Inflator!$B$8</f>
        <v>0</v>
      </c>
      <c r="AF191" s="204">
        <f>'FY 2016 by Agency'!AF195*Inflator!$E$12</f>
        <v>1742.8045112781956</v>
      </c>
      <c r="AG191" s="204">
        <f t="shared" si="220"/>
        <v>-469.04034377118342</v>
      </c>
      <c r="AH191" s="304">
        <f t="shared" si="221"/>
        <v>-0.21205842837503727</v>
      </c>
      <c r="AI191" s="204">
        <f>'FY 2016 by Agency'!AI195*Inflator!$B$8</f>
        <v>0</v>
      </c>
      <c r="AJ191" s="204">
        <f>'FY 2016 by Agency'!AJ195*Inflator!$B$8</f>
        <v>0</v>
      </c>
      <c r="AK191" s="204">
        <f>'FY 2016 by Agency'!AK195</f>
        <v>1366</v>
      </c>
      <c r="AL191" s="204">
        <f>'FY 2016 by Agency'!AL195</f>
        <v>5</v>
      </c>
      <c r="AM191" s="204">
        <f>'FY 2016 by Agency'!AM195</f>
        <v>1371</v>
      </c>
      <c r="AN191" s="204">
        <f>'FY 2016 by Agency'!AN195</f>
        <v>1097</v>
      </c>
      <c r="AO191" s="204">
        <f>'FY 2016 by Agency'!AO195</f>
        <v>1634</v>
      </c>
      <c r="AP191" s="204">
        <f>'FY 2016 by Agency'!AP195</f>
        <v>0</v>
      </c>
      <c r="AQ191" s="204">
        <f>'FY 2016 by Agency'!AQ195</f>
        <v>0</v>
      </c>
      <c r="AR191" s="204">
        <f>'FY 2016 by Agency'!AR195</f>
        <v>0</v>
      </c>
      <c r="AS191" s="204">
        <f>'FY 2016 by Agency'!AS195</f>
        <v>1414.6360999999999</v>
      </c>
      <c r="AT191" s="204" t="e">
        <f t="shared" si="222"/>
        <v>#REF!</v>
      </c>
      <c r="AU191" s="304" t="e">
        <f t="shared" si="223"/>
        <v>#REF!</v>
      </c>
      <c r="AV191" s="204">
        <f t="shared" si="224"/>
        <v>-328.16841127819566</v>
      </c>
      <c r="AW191" s="304">
        <f t="shared" si="225"/>
        <v>-0.18829903707187023</v>
      </c>
      <c r="AX191" s="206">
        <f>1097+537</f>
        <v>1634</v>
      </c>
      <c r="AY191" s="206">
        <f>1097+537</f>
        <v>1634</v>
      </c>
      <c r="AZ191" s="206">
        <f t="shared" si="226"/>
        <v>0</v>
      </c>
      <c r="BA191" s="206">
        <f t="shared" si="227"/>
        <v>328.16841127819566</v>
      </c>
      <c r="BB191" s="206">
        <f t="shared" si="228"/>
        <v>1414.6360999999999</v>
      </c>
      <c r="BC191" s="304">
        <f t="shared" si="229"/>
        <v>-0.18829903707187023</v>
      </c>
      <c r="BD191" s="306">
        <v>1.841</v>
      </c>
      <c r="BE191" s="199">
        <f t="shared" si="230"/>
        <v>1.1266829865361077E-3</v>
      </c>
      <c r="BI191" s="200">
        <v>1590</v>
      </c>
      <c r="BJ191" s="206">
        <f t="shared" si="236"/>
        <v>-44</v>
      </c>
      <c r="BK191" s="200">
        <f t="shared" si="237"/>
        <v>1590</v>
      </c>
      <c r="BL191" s="307">
        <f>'FY 2016 by Agency'!BB195*Inflator!$E$13</f>
        <v>1555.365843240769</v>
      </c>
      <c r="BM191" s="204">
        <f t="shared" si="238"/>
        <v>-187.43866803742662</v>
      </c>
      <c r="BN191" s="199">
        <f t="shared" si="231"/>
        <v>-0.1075500245864963</v>
      </c>
      <c r="BO191" s="204">
        <f>'FY 2016 by Agency'!AX195*Inflator!$E$13</f>
        <v>1748.1751602075069</v>
      </c>
      <c r="BP191" s="204">
        <f t="shared" si="185"/>
        <v>5.3706489293113009</v>
      </c>
      <c r="BQ191" s="199">
        <f t="shared" si="186"/>
        <v>3.0816129373984675E-3</v>
      </c>
      <c r="BR191" s="204">
        <f>'FY 2016 by Agency'!BE195*Inflator!$E$14</f>
        <v>2632.4660309892729</v>
      </c>
      <c r="BS191" s="204">
        <f t="shared" si="187"/>
        <v>884.29087078176599</v>
      </c>
      <c r="BT191" s="199">
        <f t="shared" si="188"/>
        <v>0.5058365379569868</v>
      </c>
      <c r="BU191" s="204">
        <f>'FY 2016 by Agency'!BL195*Inflator!$E$14</f>
        <v>2632.4660309892729</v>
      </c>
      <c r="BV191" s="204">
        <f t="shared" si="239"/>
        <v>1077.1001877485039</v>
      </c>
      <c r="BW191" s="309">
        <v>1607</v>
      </c>
      <c r="BX191" s="206">
        <f>'FY 2016 by Agency'!BW195*Inflator!E15</f>
        <v>1697.4555848724713</v>
      </c>
      <c r="BY191" s="204">
        <f>'FY 2016 by Agency'!BZ195*Inflator!$E$15</f>
        <v>2498.1222515391378</v>
      </c>
      <c r="BZ191" s="206">
        <f t="shared" si="240"/>
        <v>-134.34377945013512</v>
      </c>
      <c r="CA191" s="199">
        <f t="shared" si="190"/>
        <v>-5.1033433240408849E-2</v>
      </c>
      <c r="CB191" s="308">
        <f>'FY 2016 by Agency'!CF195*Inflator!$E$16</f>
        <v>4386.4418134565403</v>
      </c>
      <c r="CC191" s="206">
        <f t="shared" si="232"/>
        <v>1888.3195619174026</v>
      </c>
      <c r="CD191" s="304">
        <f t="shared" si="233"/>
        <v>0.75589557746982761</v>
      </c>
      <c r="CE191" s="206">
        <f>'FY 2016 by Agency'!CK195*Inflator!$E$17</f>
        <v>8443.4145650325881</v>
      </c>
      <c r="CF191" s="206">
        <f t="shared" si="241"/>
        <v>4056.9727515760478</v>
      </c>
      <c r="CG191" s="562">
        <f t="shared" si="242"/>
        <v>0.92488922094674519</v>
      </c>
      <c r="CH191" s="753">
        <f>'FY 2016 by Agency'!CN190*Inflator!$E$18</f>
        <v>0</v>
      </c>
      <c r="CI191" s="753">
        <f t="shared" si="243"/>
        <v>-8443.4145650325881</v>
      </c>
      <c r="CJ191" s="66">
        <f t="shared" si="244"/>
        <v>-1</v>
      </c>
    </row>
    <row r="192" spans="1:88" ht="18" customHeight="1" x14ac:dyDescent="0.25">
      <c r="A192" s="313" t="s">
        <v>298</v>
      </c>
      <c r="B192" s="302">
        <f>'FY 2016 by Agency'!B196*Inflator!$E$2</f>
        <v>116.36483253588517</v>
      </c>
      <c r="C192" s="302">
        <f>'FY 2016 by Agency'!C196*Inflator!$E$3</f>
        <v>114.15996908809893</v>
      </c>
      <c r="D192" s="302">
        <f t="shared" si="166"/>
        <v>-2.2048634477862379</v>
      </c>
      <c r="E192" s="303">
        <f>(C192-B192)/B192</f>
        <v>-1.8947850477989484E-2</v>
      </c>
      <c r="F192" s="204">
        <f>'FY 2016 by Agency'!F196*Inflator!$E$4</f>
        <v>113.83669585078036</v>
      </c>
      <c r="G192" s="204">
        <f t="shared" si="167"/>
        <v>-0.32327323731857405</v>
      </c>
      <c r="H192" s="199">
        <f>(F192-C192)/C192</f>
        <v>-2.8317565246456866E-3</v>
      </c>
      <c r="I192" s="204">
        <f>'FY 2016 by Agency'!I196*Inflator!$E$5</f>
        <v>120.5912978802529</v>
      </c>
      <c r="J192" s="204">
        <f t="shared" si="168"/>
        <v>6.7546020294725366</v>
      </c>
      <c r="K192" s="199">
        <f t="shared" si="169"/>
        <v>5.9335893219587273E-2</v>
      </c>
      <c r="L192" s="204">
        <f>'FY 2016 by Agency'!L196*Inflator!$E$6</f>
        <v>120.49291166848418</v>
      </c>
      <c r="M192" s="204">
        <f t="shared" si="170"/>
        <v>-9.8386211768712428E-2</v>
      </c>
      <c r="N192" s="199">
        <f t="shared" si="171"/>
        <v>-8.158649380024908E-4</v>
      </c>
      <c r="O192" s="204">
        <f>'FY 2016 by Agency'!O196*Inflator!$E$7</f>
        <v>120.48046462513199</v>
      </c>
      <c r="P192" s="204">
        <f t="shared" si="234"/>
        <v>-1.2447043352196374E-2</v>
      </c>
      <c r="Q192" s="304">
        <f>P192/L192</f>
        <v>-1.0330104219277482E-4</v>
      </c>
      <c r="R192" s="204">
        <f>'FY 2016 by Agency'!R196*Inflator!$E$8</f>
        <v>134.53156822810593</v>
      </c>
      <c r="S192" s="204">
        <f t="shared" si="215"/>
        <v>14.051103602973939</v>
      </c>
      <c r="T192" s="304">
        <f>S192/O192</f>
        <v>0.11662557616036041</v>
      </c>
      <c r="U192" s="204">
        <f>'FY 2016 by Agency'!U196*Inflator!$E$9</f>
        <v>131.40915119363393</v>
      </c>
      <c r="V192" s="204">
        <f t="shared" si="235"/>
        <v>-3.1224170344719937</v>
      </c>
      <c r="W192" s="304">
        <f t="shared" si="245"/>
        <v>-2.3209549071618329E-2</v>
      </c>
      <c r="X192" s="204">
        <f>'FY 2016 by Agency'!X196*Inflator!$E$10</f>
        <v>129.29152111781519</v>
      </c>
      <c r="Y192" s="206">
        <f t="shared" si="216"/>
        <v>-2.1176300758187381</v>
      </c>
      <c r="Z192" s="304">
        <f t="shared" si="217"/>
        <v>-1.6114783914085017E-2</v>
      </c>
      <c r="AA192" s="204">
        <f>'FY 2016 by Agency'!AA196*Inflator!$E$11</f>
        <v>129.70340872889457</v>
      </c>
      <c r="AB192" s="206">
        <f t="shared" si="218"/>
        <v>0.41188761107937921</v>
      </c>
      <c r="AC192" s="304">
        <f t="shared" si="219"/>
        <v>3.1857279388340714E-3</v>
      </c>
      <c r="AD192" s="204" t="e">
        <f>'FY 2016 by Agency'!AD196*Inflator!#REF!</f>
        <v>#REF!</v>
      </c>
      <c r="AE192" s="204">
        <f>'FY 2016 by Agency'!AE196*Inflator!$B$8</f>
        <v>0</v>
      </c>
      <c r="AF192" s="204">
        <f>'FY 2016 by Agency'!AF196*Inflator!$E$12</f>
        <v>138.8374060150376</v>
      </c>
      <c r="AG192" s="204">
        <f t="shared" si="220"/>
        <v>9.1339972861430283</v>
      </c>
      <c r="AH192" s="304">
        <f t="shared" si="221"/>
        <v>7.0422183778029029E-2</v>
      </c>
      <c r="AI192" s="204">
        <f>'FY 2016 by Agency'!AI196*Inflator!$B$8</f>
        <v>0</v>
      </c>
      <c r="AJ192" s="204">
        <f>'FY 2016 by Agency'!AJ196*Inflator!$B$8</f>
        <v>0</v>
      </c>
      <c r="AK192" s="204">
        <f>'FY 2016 by Agency'!AK196</f>
        <v>126</v>
      </c>
      <c r="AL192" s="204">
        <f>'FY 2016 by Agency'!AL196</f>
        <v>0</v>
      </c>
      <c r="AM192" s="204">
        <f>'FY 2016 by Agency'!AM196</f>
        <v>126</v>
      </c>
      <c r="AN192" s="204">
        <f>'FY 2016 by Agency'!AN196</f>
        <v>123</v>
      </c>
      <c r="AO192" s="204">
        <f>'FY 2016 by Agency'!AO196</f>
        <v>0</v>
      </c>
      <c r="AP192" s="204">
        <f>'FY 2016 by Agency'!AP196</f>
        <v>0</v>
      </c>
      <c r="AQ192" s="204">
        <f>'FY 2016 by Agency'!AQ196</f>
        <v>0</v>
      </c>
      <c r="AR192" s="204">
        <f>'FY 2016 by Agency'!AR196</f>
        <v>0</v>
      </c>
      <c r="AS192" s="204">
        <f>'FY 2016 by Agency'!AS196</f>
        <v>123</v>
      </c>
      <c r="AT192" s="204" t="e">
        <f t="shared" si="222"/>
        <v>#REF!</v>
      </c>
      <c r="AU192" s="304" t="e">
        <f t="shared" si="223"/>
        <v>#REF!</v>
      </c>
      <c r="AV192" s="204">
        <f t="shared" si="224"/>
        <v>-15.837406015037601</v>
      </c>
      <c r="AW192" s="304">
        <f t="shared" si="225"/>
        <v>-0.11407160699417157</v>
      </c>
      <c r="AX192" s="206">
        <f>123</f>
        <v>123</v>
      </c>
      <c r="AY192" s="206">
        <f>123</f>
        <v>123</v>
      </c>
      <c r="AZ192" s="206">
        <f t="shared" si="226"/>
        <v>123</v>
      </c>
      <c r="BA192" s="206">
        <f t="shared" si="227"/>
        <v>138.8374060150376</v>
      </c>
      <c r="BB192" s="206">
        <f t="shared" si="228"/>
        <v>246</v>
      </c>
      <c r="BC192" s="304">
        <f t="shared" si="229"/>
        <v>0.77185678601165697</v>
      </c>
      <c r="BD192" s="306">
        <v>0</v>
      </c>
      <c r="BE192" s="199">
        <f t="shared" si="230"/>
        <v>0</v>
      </c>
      <c r="BI192" s="200">
        <v>123</v>
      </c>
      <c r="BJ192" s="206">
        <f t="shared" si="236"/>
        <v>0</v>
      </c>
      <c r="BK192" s="200">
        <f t="shared" si="237"/>
        <v>123</v>
      </c>
      <c r="BL192" s="307">
        <f>'FY 2016 by Agency'!BB196*Inflator!$E$13</f>
        <v>135.23619163869392</v>
      </c>
      <c r="BM192" s="204">
        <f t="shared" si="238"/>
        <v>-3.6012143763436768</v>
      </c>
      <c r="BN192" s="199">
        <f t="shared" si="231"/>
        <v>-2.5938358254501141E-2</v>
      </c>
      <c r="BO192" s="204">
        <f>'FY 2016 by Agency'!AX196*Inflator!$E$13</f>
        <v>135.23619163869392</v>
      </c>
      <c r="BP192" s="204">
        <f t="shared" si="185"/>
        <v>-3.6012143763436768</v>
      </c>
      <c r="BQ192" s="199">
        <f t="shared" si="186"/>
        <v>-2.5938358254501141E-2</v>
      </c>
      <c r="BR192" s="204">
        <f>'FY 2016 by Agency'!BE196*Inflator!$E$14</f>
        <v>135.27353992848629</v>
      </c>
      <c r="BS192" s="204">
        <f t="shared" si="187"/>
        <v>3.7348289792362266E-2</v>
      </c>
      <c r="BT192" s="199">
        <f t="shared" si="188"/>
        <v>2.7617081891912826E-4</v>
      </c>
      <c r="BU192" s="204">
        <f>'FY 2016 by Agency'!BL196*Inflator!$E$14</f>
        <v>135.27353992848629</v>
      </c>
      <c r="BV192" s="204">
        <f t="shared" si="239"/>
        <v>3.7348289792362266E-2</v>
      </c>
      <c r="BW192" s="206">
        <v>126</v>
      </c>
      <c r="BX192" s="206">
        <f>'FY 2016 by Agency'!BW196*Inflator!E15</f>
        <v>133.09234828496042</v>
      </c>
      <c r="BY192" s="204">
        <f>'FY 2016 by Agency'!BZ196*Inflator!$E$15</f>
        <v>133.09234828496042</v>
      </c>
      <c r="BZ192" s="206">
        <f t="shared" si="240"/>
        <v>-2.1811916435258638</v>
      </c>
      <c r="CA192" s="199">
        <f t="shared" si="190"/>
        <v>-1.6124303723248263E-2</v>
      </c>
      <c r="CB192" s="308">
        <f>'FY 2016 by Agency'!CF196*Inflator!$E$16</f>
        <v>131.09384926364422</v>
      </c>
      <c r="CC192" s="206">
        <f t="shared" si="232"/>
        <v>-1.9984990213162064</v>
      </c>
      <c r="CD192" s="304">
        <f t="shared" si="233"/>
        <v>-1.501588218307843E-2</v>
      </c>
      <c r="CE192" s="206">
        <f>'FY 2016 by Agency'!CK196*Inflator!$E$17</f>
        <v>129.66307735902524</v>
      </c>
      <c r="CF192" s="206">
        <f t="shared" si="241"/>
        <v>-1.4307719046189789</v>
      </c>
      <c r="CG192" s="562">
        <f t="shared" si="242"/>
        <v>-1.0914103999963709E-2</v>
      </c>
      <c r="CH192" s="753">
        <f>'FY 2016 by Agency'!CN191*Inflator!$E$18</f>
        <v>130951</v>
      </c>
      <c r="CI192" s="753">
        <f t="shared" si="243"/>
        <v>130821.33692264097</v>
      </c>
      <c r="CJ192" s="66">
        <f t="shared" si="244"/>
        <v>1008.9328403058691</v>
      </c>
    </row>
    <row r="193" spans="1:88" ht="18" customHeight="1" x14ac:dyDescent="0.25">
      <c r="A193" s="313" t="s">
        <v>299</v>
      </c>
      <c r="B193" s="302">
        <f>'FY 2016 by Agency'!B197*Inflator!$E$2</f>
        <v>194704.22368421053</v>
      </c>
      <c r="C193" s="302">
        <f>'FY 2016 by Agency'!C197*Inflator!$E$3</f>
        <v>227029.37364760434</v>
      </c>
      <c r="D193" s="302">
        <f t="shared" si="166"/>
        <v>32325.149963393807</v>
      </c>
      <c r="E193" s="303">
        <f>(C193-B193)/B193</f>
        <v>0.16602182198071752</v>
      </c>
      <c r="F193" s="204">
        <f>'FY 2016 by Agency'!F197*Inflator!$E$4</f>
        <v>203662.07803578227</v>
      </c>
      <c r="G193" s="204">
        <f t="shared" si="167"/>
        <v>-23367.295611822075</v>
      </c>
      <c r="H193" s="199">
        <f>(F193-C193)/C193</f>
        <v>-0.10292630965054267</v>
      </c>
      <c r="I193" s="204">
        <f>'FY 2016 by Agency'!I197*Inflator!$E$5</f>
        <v>207056.59836370399</v>
      </c>
      <c r="J193" s="204">
        <f t="shared" si="168"/>
        <v>3394.5203279217239</v>
      </c>
      <c r="K193" s="199">
        <f t="shared" si="169"/>
        <v>1.6667414771862076E-2</v>
      </c>
      <c r="L193" s="204">
        <f>'FY 2016 by Agency'!L197*Inflator!$E$6</f>
        <v>208402.96837513632</v>
      </c>
      <c r="M193" s="204">
        <f t="shared" si="170"/>
        <v>1346.3700114323292</v>
      </c>
      <c r="N193" s="199">
        <f t="shared" si="171"/>
        <v>6.5024250474132262E-3</v>
      </c>
      <c r="O193" s="204">
        <f>'FY 2016 by Agency'!O197*Inflator!$E$7</f>
        <v>209639.81309398098</v>
      </c>
      <c r="P193" s="204">
        <f t="shared" si="234"/>
        <v>1236.8447188446589</v>
      </c>
      <c r="Q193" s="304">
        <f>P193/L193</f>
        <v>5.934870930524719E-3</v>
      </c>
      <c r="R193" s="204">
        <f>'FY 2016 by Agency'!R197*Inflator!$E$8</f>
        <v>229455.81975560082</v>
      </c>
      <c r="S193" s="204">
        <f t="shared" si="215"/>
        <v>19816.006661619846</v>
      </c>
      <c r="T193" s="304">
        <f>S193/O193</f>
        <v>9.4524061861934502E-2</v>
      </c>
      <c r="U193" s="204">
        <f>'FY 2016 by Agency'!U197*Inflator!$E$9</f>
        <v>237114.67241379307</v>
      </c>
      <c r="V193" s="204">
        <f t="shared" si="235"/>
        <v>7658.8526581922488</v>
      </c>
      <c r="W193" s="304">
        <f t="shared" si="245"/>
        <v>3.337833255373468E-2</v>
      </c>
      <c r="X193" s="204">
        <f>'FY 2016 by Agency'!X197*Inflator!$E$10</f>
        <v>245888.44553826613</v>
      </c>
      <c r="Y193" s="206">
        <f t="shared" si="216"/>
        <v>8773.773124473053</v>
      </c>
      <c r="Z193" s="304">
        <f t="shared" si="217"/>
        <v>3.7002236239357569E-2</v>
      </c>
      <c r="AA193" s="204">
        <f>'FY 2016 by Agency'!AA197*Inflator!$E$11</f>
        <v>264570.84963364131</v>
      </c>
      <c r="AB193" s="206">
        <f t="shared" si="218"/>
        <v>18682.404095375183</v>
      </c>
      <c r="AC193" s="304">
        <f t="shared" si="219"/>
        <v>7.5979186636761883E-2</v>
      </c>
      <c r="AD193" s="204" t="e">
        <f>'FY 2016 by Agency'!AD197*Inflator!#REF!</f>
        <v>#REF!</v>
      </c>
      <c r="AE193" s="204">
        <f>'FY 2016 by Agency'!AE197*Inflator!$B$8</f>
        <v>0</v>
      </c>
      <c r="AF193" s="204">
        <f>'FY 2016 by Agency'!AF197*Inflator!$E$12</f>
        <v>275042.54511278198</v>
      </c>
      <c r="AG193" s="204">
        <f t="shared" si="220"/>
        <v>10471.695479140675</v>
      </c>
      <c r="AH193" s="304">
        <f t="shared" si="221"/>
        <v>3.9579929132937834E-2</v>
      </c>
      <c r="AI193" s="204">
        <f>'FY 2016 by Agency'!AI197*Inflator!$B$8</f>
        <v>0</v>
      </c>
      <c r="AJ193" s="204">
        <f>'FY 2016 by Agency'!AJ197*Inflator!$B$8</f>
        <v>0</v>
      </c>
      <c r="AK193" s="204">
        <f>'FY 2016 by Agency'!AK197</f>
        <v>237998</v>
      </c>
      <c r="AL193" s="204">
        <f>'FY 2016 by Agency'!AL197</f>
        <v>0</v>
      </c>
      <c r="AM193" s="204">
        <f>'FY 2016 by Agency'!AM197</f>
        <v>237998</v>
      </c>
      <c r="AN193" s="204">
        <f>'FY 2016 by Agency'!AN197</f>
        <v>233268</v>
      </c>
      <c r="AO193" s="204">
        <f>'FY 2016 by Agency'!AO197</f>
        <v>245268</v>
      </c>
      <c r="AP193" s="204">
        <f>'FY 2016 by Agency'!AP197</f>
        <v>0</v>
      </c>
      <c r="AQ193" s="204">
        <f>'FY 2016 by Agency'!AQ197</f>
        <v>0</v>
      </c>
      <c r="AR193" s="204">
        <f>'FY 2016 by Agency'!AR197</f>
        <v>0</v>
      </c>
      <c r="AS193" s="204">
        <f>'FY 2016 by Agency'!AS197</f>
        <v>257703</v>
      </c>
      <c r="AT193" s="204" t="e">
        <f t="shared" si="222"/>
        <v>#REF!</v>
      </c>
      <c r="AU193" s="304" t="e">
        <f t="shared" si="223"/>
        <v>#REF!</v>
      </c>
      <c r="AV193" s="204">
        <f t="shared" si="224"/>
        <v>-17339.545112781983</v>
      </c>
      <c r="AW193" s="304">
        <f t="shared" si="225"/>
        <v>-6.3043137946792394E-2</v>
      </c>
      <c r="AX193" s="206">
        <f>246268+12000</f>
        <v>258268</v>
      </c>
      <c r="AY193" s="206">
        <f>246268+12000</f>
        <v>258268</v>
      </c>
      <c r="AZ193" s="206">
        <f t="shared" si="226"/>
        <v>13000</v>
      </c>
      <c r="BA193" s="206">
        <f t="shared" si="227"/>
        <v>30339.545112781983</v>
      </c>
      <c r="BB193" s="206">
        <f t="shared" si="228"/>
        <v>270703</v>
      </c>
      <c r="BC193" s="304">
        <f t="shared" si="229"/>
        <v>-1.5777723082814443E-2</v>
      </c>
      <c r="BD193" s="306">
        <v>0</v>
      </c>
      <c r="BE193" s="199">
        <f t="shared" si="230"/>
        <v>0</v>
      </c>
      <c r="BI193" s="200">
        <v>257703</v>
      </c>
      <c r="BJ193" s="206">
        <f t="shared" si="236"/>
        <v>-565</v>
      </c>
      <c r="BK193" s="200">
        <f t="shared" si="237"/>
        <v>257703</v>
      </c>
      <c r="BL193" s="307">
        <f>'FY 2016 by Agency'!BB197*Inflator!$E$13</f>
        <v>283339.6121452548</v>
      </c>
      <c r="BM193" s="204">
        <f t="shared" si="238"/>
        <v>8297.0670324728126</v>
      </c>
      <c r="BN193" s="199">
        <f t="shared" si="231"/>
        <v>3.0166485803389351E-2</v>
      </c>
      <c r="BO193" s="204">
        <f>'FY 2016 by Agency'!AX197*Inflator!$E$13</f>
        <v>283339.6121452548</v>
      </c>
      <c r="BP193" s="204">
        <f t="shared" si="185"/>
        <v>8297.0670324728126</v>
      </c>
      <c r="BQ193" s="199">
        <f t="shared" si="186"/>
        <v>3.0166485803389351E-2</v>
      </c>
      <c r="BR193" s="204">
        <f>'FY 2016 by Agency'!BE197*Inflator!$E$14</f>
        <v>237629.444874851</v>
      </c>
      <c r="BS193" s="204">
        <f t="shared" si="187"/>
        <v>-45710.167270403792</v>
      </c>
      <c r="BT193" s="199">
        <f t="shared" si="188"/>
        <v>-0.16132642705450714</v>
      </c>
      <c r="BU193" s="204">
        <f>'FY 2016 by Agency'!BL197*Inflator!$E$14</f>
        <v>237629.444874851</v>
      </c>
      <c r="BV193" s="204">
        <f t="shared" si="239"/>
        <v>-45710.167270403792</v>
      </c>
      <c r="BW193" s="206">
        <f>288224-50600</f>
        <v>237624</v>
      </c>
      <c r="BX193" s="206">
        <f>'FY 2016 by Agency'!BW197*Inflator!E15</f>
        <v>250999.49340369392</v>
      </c>
      <c r="BY193" s="204">
        <f>'FY 2016 by Agency'!BZ197*Inflator!$E$15</f>
        <v>300884.82937554969</v>
      </c>
      <c r="BZ193" s="206">
        <f t="shared" si="240"/>
        <v>63255.384500698681</v>
      </c>
      <c r="CA193" s="199">
        <f t="shared" si="190"/>
        <v>0.26619337739905302</v>
      </c>
      <c r="CB193" s="308">
        <f>'FY 2016 by Agency'!CF197*Inflator!$E$16</f>
        <v>321945.68524400808</v>
      </c>
      <c r="CC193" s="206">
        <f t="shared" si="232"/>
        <v>21060.855868458399</v>
      </c>
      <c r="CD193" s="304">
        <f t="shared" si="233"/>
        <v>6.9996403315407005E-2</v>
      </c>
      <c r="CE193" s="206">
        <f>'FY 2016 by Agency'!CK197*Inflator!$E$17</f>
        <v>337450.71124964586</v>
      </c>
      <c r="CF193" s="206">
        <f t="shared" si="241"/>
        <v>15505.026005637774</v>
      </c>
      <c r="CG193" s="562">
        <f t="shared" si="242"/>
        <v>4.8160378337999007E-2</v>
      </c>
      <c r="CH193" s="753">
        <f>'FY 2016 by Agency'!CN192*Inflator!$E$18</f>
        <v>106138</v>
      </c>
      <c r="CI193" s="753">
        <f t="shared" si="243"/>
        <v>-231312.71124964586</v>
      </c>
      <c r="CJ193" s="66">
        <f t="shared" si="244"/>
        <v>-0.68547110300360525</v>
      </c>
    </row>
    <row r="194" spans="1:88" ht="18" customHeight="1" x14ac:dyDescent="0.25">
      <c r="A194" s="312" t="s">
        <v>300</v>
      </c>
      <c r="B194" s="302"/>
      <c r="C194" s="302"/>
      <c r="D194" s="302"/>
      <c r="E194" s="303"/>
      <c r="F194" s="204"/>
      <c r="G194" s="204"/>
      <c r="I194" s="204"/>
      <c r="J194" s="204"/>
      <c r="L194" s="204"/>
      <c r="M194" s="204"/>
      <c r="O194" s="204"/>
      <c r="P194" s="204"/>
      <c r="Q194" s="304"/>
      <c r="R194" s="204"/>
      <c r="S194" s="204"/>
      <c r="T194" s="304"/>
      <c r="U194" s="204"/>
      <c r="V194" s="204"/>
      <c r="W194" s="304"/>
      <c r="X194" s="204"/>
      <c r="Y194" s="206"/>
      <c r="Z194" s="304"/>
      <c r="AA194" s="204"/>
      <c r="AB194" s="206"/>
      <c r="AC194" s="304"/>
      <c r="AD194" s="204"/>
      <c r="AE194" s="204"/>
      <c r="AF194" s="204"/>
      <c r="AG194" s="204"/>
      <c r="AH194" s="304"/>
      <c r="AI194" s="204"/>
      <c r="AJ194" s="204"/>
      <c r="AK194" s="204"/>
      <c r="AL194" s="204"/>
      <c r="AM194" s="204"/>
      <c r="AO194" s="204"/>
      <c r="AU194" s="304"/>
      <c r="AV194" s="204"/>
      <c r="AW194" s="304"/>
      <c r="AX194" s="206"/>
      <c r="AY194" s="206"/>
      <c r="AZ194" s="206"/>
      <c r="BA194" s="206"/>
      <c r="BB194" s="206"/>
      <c r="BC194" s="304"/>
      <c r="BD194" s="306"/>
      <c r="BE194" s="199"/>
      <c r="BI194" s="200"/>
      <c r="BJ194" s="206"/>
      <c r="BK194" s="200"/>
      <c r="BL194" s="307">
        <f>'FY 2016 by Agency'!BB198*Inflator!$E$13</f>
        <v>0</v>
      </c>
      <c r="BN194" s="199"/>
      <c r="BO194" s="204"/>
      <c r="BP194" s="204"/>
      <c r="BQ194" s="199"/>
      <c r="BR194" s="204"/>
      <c r="BS194" s="204"/>
      <c r="BT194" s="199"/>
      <c r="BW194" s="206"/>
      <c r="BX194" s="206">
        <f>'FY 2016 by Agency'!BW198*Inflator!E15</f>
        <v>0</v>
      </c>
      <c r="BY194" s="204">
        <f>'FY 2016 by Agency'!BZ198*Inflator!$E$15</f>
        <v>0</v>
      </c>
      <c r="BZ194" s="206">
        <f t="shared" si="240"/>
        <v>0</v>
      </c>
      <c r="CA194" s="199" t="e">
        <f t="shared" si="190"/>
        <v>#DIV/0!</v>
      </c>
      <c r="CB194" s="308">
        <f>'FY 2016 by Agency'!CF198*Inflator!$E$16</f>
        <v>0</v>
      </c>
      <c r="CC194" s="206">
        <f t="shared" si="232"/>
        <v>0</v>
      </c>
      <c r="CD194" s="304" t="e">
        <f t="shared" si="233"/>
        <v>#DIV/0!</v>
      </c>
      <c r="CE194" s="206">
        <f>'FY 2016 by Agency'!CK198*Inflator!$E$17</f>
        <v>0</v>
      </c>
      <c r="CF194" s="206">
        <f t="shared" si="241"/>
        <v>0</v>
      </c>
      <c r="CG194" s="562" t="e">
        <f t="shared" si="242"/>
        <v>#DIV/0!</v>
      </c>
      <c r="CH194" s="753">
        <f>'FY 2016 by Agency'!CN193*Inflator!$E$18</f>
        <v>38605</v>
      </c>
      <c r="CI194" s="753">
        <f t="shared" si="243"/>
        <v>38605</v>
      </c>
      <c r="CJ194" s="66" t="e">
        <f t="shared" si="244"/>
        <v>#DIV/0!</v>
      </c>
    </row>
    <row r="195" spans="1:88" s="211" customFormat="1" ht="18" customHeight="1" thickBot="1" x14ac:dyDescent="0.3">
      <c r="A195" s="438" t="s">
        <v>301</v>
      </c>
      <c r="B195" s="326">
        <f>'FY 2016 by Agency'!B199*Inflator!$E$2</f>
        <v>4381.6387559808609</v>
      </c>
      <c r="C195" s="326">
        <f>'FY 2016 by Agency'!C199*Inflator!$E$3</f>
        <v>4138.9949768160741</v>
      </c>
      <c r="D195" s="326">
        <f t="shared" si="166"/>
        <v>-242.64377916478679</v>
      </c>
      <c r="E195" s="424">
        <f>(C195-B195)/B195</f>
        <v>-5.5377403907061543E-2</v>
      </c>
      <c r="F195" s="327">
        <f>'FY 2016 by Agency'!F199*Inflator!$E$4</f>
        <v>3969.1975637609439</v>
      </c>
      <c r="G195" s="327">
        <f t="shared" si="167"/>
        <v>-169.79741305513016</v>
      </c>
      <c r="H195" s="212">
        <f>(F195-C195)/C195</f>
        <v>-4.1023826800038056E-2</v>
      </c>
      <c r="I195" s="327">
        <f>'FY 2016 by Agency'!I199*Inflator!$E$5</f>
        <v>5095.652287095575</v>
      </c>
      <c r="J195" s="327">
        <f t="shared" si="168"/>
        <v>1126.4547233346311</v>
      </c>
      <c r="K195" s="212">
        <f t="shared" si="169"/>
        <v>0.2837991068066863</v>
      </c>
      <c r="L195" s="327">
        <f>'FY 2016 by Agency'!L199*Inflator!$E$6</f>
        <v>5643.5212649945479</v>
      </c>
      <c r="M195" s="327">
        <f t="shared" si="170"/>
        <v>547.86897789897284</v>
      </c>
      <c r="N195" s="212">
        <f t="shared" si="171"/>
        <v>0.10751694719956015</v>
      </c>
      <c r="O195" s="327">
        <f>'FY 2016 by Agency'!O199*Inflator!$E$7</f>
        <v>5906.0791974656804</v>
      </c>
      <c r="P195" s="327">
        <f t="shared" si="234"/>
        <v>262.55793247113252</v>
      </c>
      <c r="Q195" s="328">
        <f>P195/L195</f>
        <v>4.6523778354432437E-2</v>
      </c>
      <c r="R195" s="327">
        <f>'FY 2016 by Agency'!R199*Inflator!$E$8</f>
        <v>6321.7606924643587</v>
      </c>
      <c r="S195" s="327">
        <f t="shared" si="215"/>
        <v>415.68149499867832</v>
      </c>
      <c r="T195" s="328">
        <f>S195/O195</f>
        <v>7.0381971033684876E-2</v>
      </c>
      <c r="U195" s="327">
        <f>'FY 2016 by Agency'!U199*Inflator!$E$9</f>
        <v>6083.0490716180366</v>
      </c>
      <c r="V195" s="327">
        <f t="shared" si="235"/>
        <v>-238.71162084632215</v>
      </c>
      <c r="W195" s="328">
        <f t="shared" si="245"/>
        <v>-3.7760306417620376E-2</v>
      </c>
      <c r="X195" s="327">
        <f>'FY 2016 by Agency'!X199*Inflator!$E$10</f>
        <v>6201.4163226421088</v>
      </c>
      <c r="Y195" s="333">
        <f t="shared" si="216"/>
        <v>118.36725102407217</v>
      </c>
      <c r="Z195" s="328">
        <f t="shared" si="217"/>
        <v>1.9458539563052966E-2</v>
      </c>
      <c r="AA195" s="327">
        <f>'FY 2016 by Agency'!AA199*Inflator!$E$11</f>
        <v>9028.7346288626959</v>
      </c>
      <c r="AB195" s="333">
        <f t="shared" si="218"/>
        <v>2827.3183062205871</v>
      </c>
      <c r="AC195" s="328">
        <f t="shared" si="219"/>
        <v>0.45591493283521567</v>
      </c>
      <c r="AD195" s="327" t="e">
        <f>'FY 2016 by Agency'!AD199*Inflator!#REF!</f>
        <v>#REF!</v>
      </c>
      <c r="AE195" s="327">
        <f>'FY 2016 by Agency'!AE199*Inflator!$B$8</f>
        <v>0</v>
      </c>
      <c r="AF195" s="327">
        <f>'FY 2016 by Agency'!AF199*Inflator!$E$12</f>
        <v>7140.5319548872185</v>
      </c>
      <c r="AG195" s="327">
        <f t="shared" si="220"/>
        <v>-1888.2026739754774</v>
      </c>
      <c r="AH195" s="328">
        <f t="shared" si="221"/>
        <v>-0.2091325918406492</v>
      </c>
      <c r="AI195" s="327">
        <f>'FY 2016 by Agency'!AI199*Inflator!$B$8</f>
        <v>0</v>
      </c>
      <c r="AJ195" s="327">
        <f>'FY 2016 by Agency'!AJ199*Inflator!$B$8</f>
        <v>0</v>
      </c>
      <c r="AK195" s="327">
        <f>'FY 2016 by Agency'!AK199</f>
        <v>7668</v>
      </c>
      <c r="AL195" s="327">
        <f>'FY 2016 by Agency'!AL199</f>
        <v>0</v>
      </c>
      <c r="AM195" s="327">
        <f>'FY 2016 by Agency'!AM199</f>
        <v>7668</v>
      </c>
      <c r="AN195" s="327">
        <f>'FY 2016 by Agency'!AN199</f>
        <v>6058</v>
      </c>
      <c r="AO195" s="327">
        <f>'FY 2016 by Agency'!AO199</f>
        <v>6058</v>
      </c>
      <c r="AP195" s="327">
        <f>'FY 2016 by Agency'!AP199</f>
        <v>0</v>
      </c>
      <c r="AQ195" s="327">
        <f>'FY 2016 by Agency'!AQ199</f>
        <v>0</v>
      </c>
      <c r="AR195" s="327">
        <f>'FY 2016 by Agency'!AR199</f>
        <v>0</v>
      </c>
      <c r="AS195" s="327">
        <f>'FY 2016 by Agency'!AS199</f>
        <v>6007.3223399999997</v>
      </c>
      <c r="AT195" s="327" t="e">
        <f t="shared" si="222"/>
        <v>#REF!</v>
      </c>
      <c r="AU195" s="328" t="e">
        <f t="shared" si="223"/>
        <v>#REF!</v>
      </c>
      <c r="AV195" s="327">
        <f t="shared" si="224"/>
        <v>-1133.2096148872188</v>
      </c>
      <c r="AW195" s="328">
        <f t="shared" si="225"/>
        <v>-0.15870100743847415</v>
      </c>
      <c r="AX195" s="333">
        <f>6058</f>
        <v>6058</v>
      </c>
      <c r="AY195" s="333">
        <f>6058</f>
        <v>6058</v>
      </c>
      <c r="AZ195" s="333">
        <f t="shared" si="226"/>
        <v>0</v>
      </c>
      <c r="BA195" s="333">
        <f t="shared" si="227"/>
        <v>1133.2096148872188</v>
      </c>
      <c r="BB195" s="333">
        <f t="shared" si="228"/>
        <v>6007.3223399999997</v>
      </c>
      <c r="BC195" s="328">
        <f t="shared" si="229"/>
        <v>-0.15870100743847415</v>
      </c>
      <c r="BD195" s="330">
        <v>605.79999999999995</v>
      </c>
      <c r="BE195" s="212">
        <f t="shared" si="230"/>
        <v>9.9999999999999992E-2</v>
      </c>
      <c r="BI195" s="331">
        <v>6058</v>
      </c>
      <c r="BJ195" s="333">
        <f t="shared" si="236"/>
        <v>0</v>
      </c>
      <c r="BK195" s="331">
        <f t="shared" si="237"/>
        <v>6058</v>
      </c>
      <c r="BL195" s="332">
        <f>'FY 2016 by Agency'!BB199*Inflator!$E$13</f>
        <v>6604.9381724198956</v>
      </c>
      <c r="BM195" s="327">
        <f t="shared" si="238"/>
        <v>-535.59378246732285</v>
      </c>
      <c r="BN195" s="212">
        <f t="shared" si="231"/>
        <v>-7.5007546475685832E-2</v>
      </c>
      <c r="BO195" s="327">
        <f>'FY 2016 by Agency'!AX199*Inflator!$E$13</f>
        <v>6660.6573085138843</v>
      </c>
      <c r="BP195" s="327">
        <f t="shared" si="185"/>
        <v>-479.87464637333414</v>
      </c>
      <c r="BQ195" s="212">
        <f t="shared" si="186"/>
        <v>-6.7204327269327874E-2</v>
      </c>
      <c r="BR195" s="327">
        <f>'FY 2016 by Agency'!BE199*Inflator!$E$14</f>
        <v>0</v>
      </c>
      <c r="BS195" s="327">
        <f t="shared" si="187"/>
        <v>-6660.6573085138843</v>
      </c>
      <c r="BT195" s="212">
        <f t="shared" si="188"/>
        <v>-1</v>
      </c>
      <c r="BU195" s="327">
        <f>'FY 2016 by Agency'!BL199*Inflator!$E$14</f>
        <v>0</v>
      </c>
      <c r="BV195" s="327">
        <f t="shared" si="239"/>
        <v>-6604.9381724198956</v>
      </c>
      <c r="BW195" s="333">
        <v>0</v>
      </c>
      <c r="BX195" s="333">
        <f>'FY 2016 by Agency'!BW199*Inflator!E15</f>
        <v>0</v>
      </c>
      <c r="BY195" s="327">
        <f>'FY 2016 by Agency'!BZ199*Inflator!$E$15</f>
        <v>0</v>
      </c>
      <c r="BZ195" s="333">
        <f t="shared" si="240"/>
        <v>0</v>
      </c>
      <c r="CA195" s="212" t="e">
        <f t="shared" si="190"/>
        <v>#DIV/0!</v>
      </c>
      <c r="CB195" s="308">
        <f>'FY 2016 by Agency'!CF199*Inflator!$E$16</f>
        <v>0</v>
      </c>
      <c r="CC195" s="333">
        <f t="shared" si="232"/>
        <v>0</v>
      </c>
      <c r="CD195" s="328" t="e">
        <f t="shared" si="233"/>
        <v>#DIV/0!</v>
      </c>
      <c r="CE195" s="206">
        <f>'FY 2016 by Agency'!CK199*Inflator!$E$17</f>
        <v>0</v>
      </c>
      <c r="CF195" s="333">
        <f t="shared" si="241"/>
        <v>0</v>
      </c>
      <c r="CG195" s="675" t="e">
        <f t="shared" si="242"/>
        <v>#DIV/0!</v>
      </c>
      <c r="CH195" s="753">
        <f>'FY 2016 by Agency'!CN194*Inflator!$E$18</f>
        <v>77881</v>
      </c>
      <c r="CI195" s="753">
        <f t="shared" si="243"/>
        <v>77881</v>
      </c>
      <c r="CJ195" s="66" t="e">
        <f t="shared" si="244"/>
        <v>#DIV/0!</v>
      </c>
    </row>
    <row r="196" spans="1:88" s="335" customFormat="1" ht="18" customHeight="1" x14ac:dyDescent="0.25">
      <c r="A196" s="335" t="s">
        <v>302</v>
      </c>
      <c r="B196" s="336">
        <f>'FY 2016 by Agency'!B200*Inflator!$E$2</f>
        <v>386268.03349282296</v>
      </c>
      <c r="C196" s="336">
        <f>'FY 2016 by Agency'!C200*Inflator!$E$3</f>
        <v>411903.09041731071</v>
      </c>
      <c r="D196" s="336">
        <f t="shared" si="166"/>
        <v>25635.056924487755</v>
      </c>
      <c r="E196" s="337">
        <f>(C196-B196)/B196</f>
        <v>6.636598087779394E-2</v>
      </c>
      <c r="F196" s="338">
        <f>'FY 2016 by Agency'!F200*Inflator!$E$4</f>
        <v>422524.78378378379</v>
      </c>
      <c r="G196" s="338">
        <f t="shared" si="167"/>
        <v>10621.693366473075</v>
      </c>
      <c r="H196" s="339">
        <f>(F196-C196)/C196</f>
        <v>2.5786874664406951E-2</v>
      </c>
      <c r="I196" s="338">
        <f>'FY 2016 by Agency'!I200*Inflator!$E$5</f>
        <v>414748.31089624402</v>
      </c>
      <c r="J196" s="338">
        <f t="shared" si="168"/>
        <v>-7776.4728875397705</v>
      </c>
      <c r="K196" s="339">
        <f t="shared" si="169"/>
        <v>-1.8404773367138579E-2</v>
      </c>
      <c r="L196" s="338">
        <f>'FY 2016 by Agency'!L200*Inflator!$E$6</f>
        <v>414648.85169029445</v>
      </c>
      <c r="M196" s="338">
        <f t="shared" si="170"/>
        <v>-99.459205949562602</v>
      </c>
      <c r="N196" s="339">
        <f t="shared" si="171"/>
        <v>-2.3980617482115298E-4</v>
      </c>
      <c r="O196" s="338">
        <f>'FY 2016 by Agency'!O200*Inflator!$E$7</f>
        <v>514391.97782470955</v>
      </c>
      <c r="P196" s="340">
        <f>O196-L196</f>
        <v>99743.126134415099</v>
      </c>
      <c r="Q196" s="341">
        <f>P196/L196</f>
        <v>0.24054842001326529</v>
      </c>
      <c r="R196" s="338">
        <f>'FY 2016 by Agency'!R200*Inflator!$E$8</f>
        <v>448602.85234215885</v>
      </c>
      <c r="S196" s="340">
        <f t="shared" si="215"/>
        <v>-65789.125482550706</v>
      </c>
      <c r="T196" s="341">
        <f>S196/O196</f>
        <v>-0.12789687304371183</v>
      </c>
      <c r="U196" s="338">
        <f>'FY 2016 by Agency'!U200*Inflator!$E$9</f>
        <v>513656.86870026519</v>
      </c>
      <c r="V196" s="340">
        <f t="shared" si="235"/>
        <v>65054.016358106339</v>
      </c>
      <c r="W196" s="341">
        <f t="shared" si="245"/>
        <v>0.14501471851652042</v>
      </c>
      <c r="X196" s="338">
        <f>'FY 2016 by Agency'!X200*Inflator!$E$10</f>
        <v>645058.28231184511</v>
      </c>
      <c r="Y196" s="352">
        <f t="shared" si="216"/>
        <v>131401.41361157992</v>
      </c>
      <c r="Z196" s="341">
        <f t="shared" si="217"/>
        <v>0.25581554850823329</v>
      </c>
      <c r="AA196" s="338">
        <f>'FY 2016 by Agency'!AA200*Inflator!$E$11</f>
        <v>691312.28161834984</v>
      </c>
      <c r="AB196" s="352">
        <f t="shared" si="218"/>
        <v>46253.999306504731</v>
      </c>
      <c r="AC196" s="342">
        <f t="shared" si="219"/>
        <v>7.1705147542224457E-2</v>
      </c>
      <c r="AD196" s="338" t="e">
        <f>'FY 2016 by Agency'!AD200*Inflator!#REF!</f>
        <v>#REF!</v>
      </c>
      <c r="AE196" s="349">
        <f>SUM(AE187:AE195)</f>
        <v>0</v>
      </c>
      <c r="AF196" s="338">
        <f>'FY 2016 by Agency'!AF200*Inflator!$E$12</f>
        <v>632334.40131578955</v>
      </c>
      <c r="AG196" s="338">
        <f t="shared" si="220"/>
        <v>-58977.880302560283</v>
      </c>
      <c r="AH196" s="342">
        <f t="shared" si="221"/>
        <v>-8.5312935804487816E-2</v>
      </c>
      <c r="AI196" s="349">
        <f t="shared" ref="AI196:AS196" si="246">SUM(AI187:AI195)</f>
        <v>0</v>
      </c>
      <c r="AJ196" s="349">
        <f t="shared" si="246"/>
        <v>0</v>
      </c>
      <c r="AK196" s="349">
        <f t="shared" si="246"/>
        <v>413005</v>
      </c>
      <c r="AL196" s="349">
        <f t="shared" si="246"/>
        <v>7540</v>
      </c>
      <c r="AM196" s="349">
        <f t="shared" si="246"/>
        <v>420545</v>
      </c>
      <c r="AN196" s="349">
        <f t="shared" si="246"/>
        <v>373289</v>
      </c>
      <c r="AO196" s="349">
        <f t="shared" si="246"/>
        <v>535860</v>
      </c>
      <c r="AP196" s="349">
        <f t="shared" si="246"/>
        <v>0</v>
      </c>
      <c r="AQ196" s="349">
        <f t="shared" si="246"/>
        <v>0</v>
      </c>
      <c r="AR196" s="349">
        <f t="shared" si="246"/>
        <v>0</v>
      </c>
      <c r="AS196" s="349">
        <f t="shared" si="246"/>
        <v>538838.46692999988</v>
      </c>
      <c r="AT196" s="338" t="e">
        <f t="shared" si="222"/>
        <v>#REF!</v>
      </c>
      <c r="AU196" s="342" t="e">
        <f t="shared" si="223"/>
        <v>#REF!</v>
      </c>
      <c r="AV196" s="338">
        <f t="shared" si="224"/>
        <v>-93495.934385789675</v>
      </c>
      <c r="AW196" s="342">
        <f t="shared" si="225"/>
        <v>-0.14785837081019026</v>
      </c>
      <c r="AX196" s="352">
        <f>SUM(AX187:AX195)</f>
        <v>552253</v>
      </c>
      <c r="AY196" s="352">
        <f>SUM(AY187:AY195)</f>
        <v>552253</v>
      </c>
      <c r="AZ196" s="401">
        <f>SUM(AZ187:AZ195)</f>
        <v>16393</v>
      </c>
      <c r="BA196" s="342">
        <f t="shared" si="227"/>
        <v>109888.93438578967</v>
      </c>
      <c r="BB196" s="352">
        <f>+AZ196+AS196 +4500</f>
        <v>559731.46692999988</v>
      </c>
      <c r="BC196" s="342">
        <f t="shared" si="229"/>
        <v>-0.11481730906101939</v>
      </c>
      <c r="BD196" s="352">
        <f>SUM(BD187:BD195)</f>
        <v>5007.8560000000007</v>
      </c>
      <c r="BE196" s="339">
        <f>BD196/AY196</f>
        <v>9.0680467104750917E-3</v>
      </c>
      <c r="BF196" s="339">
        <f>(BB196-X196)/X196</f>
        <v>-0.13227768361649386</v>
      </c>
      <c r="BI196" s="348">
        <f>SUM(BI187:BI195)</f>
        <v>540671</v>
      </c>
      <c r="BJ196" s="352">
        <f>BI196-AY196</f>
        <v>-11582</v>
      </c>
      <c r="BK196" s="348">
        <f>SUM(BK187:BK195)</f>
        <v>540671</v>
      </c>
      <c r="BL196" s="350">
        <f>SUM(BL187:BL195)</f>
        <v>592442.78191906924</v>
      </c>
      <c r="BM196" s="338">
        <f>BL196-AF196</f>
        <v>-39891.619396720314</v>
      </c>
      <c r="BN196" s="351">
        <f t="shared" si="231"/>
        <v>-6.3086270988439122E-2</v>
      </c>
      <c r="BO196" s="338">
        <f>'FY 2016 by Agency'!AX200*Inflator!$E$13</f>
        <v>605254.52334452246</v>
      </c>
      <c r="BP196" s="338">
        <f t="shared" si="185"/>
        <v>-27079.877971267095</v>
      </c>
      <c r="BQ196" s="339">
        <f t="shared" si="186"/>
        <v>-4.2825248657859007E-2</v>
      </c>
      <c r="BR196" s="338">
        <f>'FY 2016 by Agency'!BE200*Inflator!$E$14</f>
        <v>574468.07449344452</v>
      </c>
      <c r="BS196" s="338">
        <f t="shared" si="187"/>
        <v>-30786.448851077934</v>
      </c>
      <c r="BT196" s="339">
        <f t="shared" si="188"/>
        <v>-5.0865293300011737E-2</v>
      </c>
      <c r="BU196" s="338">
        <f>SUM(BU187:BU195)</f>
        <v>574468.07449344452</v>
      </c>
      <c r="BV196" s="338">
        <f t="shared" si="239"/>
        <v>-17974.707425624714</v>
      </c>
      <c r="BW196" s="352">
        <f>SUM(BW187:BW195)</f>
        <v>574786</v>
      </c>
      <c r="BX196" s="338">
        <f>SUM(BX187:BX195)</f>
        <v>607204.26297273522</v>
      </c>
      <c r="BY196" s="338">
        <f>'FY 2016 by Agency'!BZ200*Inflator!$E$15</f>
        <v>581511.10202286718</v>
      </c>
      <c r="BZ196" s="352">
        <f>BY196-BR196</f>
        <v>7043.0275294226594</v>
      </c>
      <c r="CA196" s="339">
        <f t="shared" si="190"/>
        <v>1.2260085185122033E-2</v>
      </c>
      <c r="CB196" s="674">
        <f>'FY 2016 by Agency'!CF200*Inflator!$E$16</f>
        <v>675609.83944556734</v>
      </c>
      <c r="CC196" s="352">
        <f t="shared" si="232"/>
        <v>94098.737422700156</v>
      </c>
      <c r="CD196" s="341">
        <f t="shared" si="233"/>
        <v>0.16181761121217569</v>
      </c>
      <c r="CE196" s="206">
        <f>'FY 2016 by Agency'!CK200*Inflator!$E$17</f>
        <v>702777.96316236898</v>
      </c>
      <c r="CF196" s="349">
        <f>CE196-CB196</f>
        <v>27168.123716801638</v>
      </c>
      <c r="CG196" s="562">
        <f t="shared" si="242"/>
        <v>4.0212741334698286E-2</v>
      </c>
      <c r="CH196" s="753">
        <f>'FY 2016 by Agency'!CN195*Inflator!$E$18</f>
        <v>7399</v>
      </c>
      <c r="CI196" s="753">
        <f t="shared" si="243"/>
        <v>-695378.96316236898</v>
      </c>
      <c r="CJ196" s="66">
        <f t="shared" si="244"/>
        <v>-0.98947178143334791</v>
      </c>
    </row>
    <row r="197" spans="1:88" s="144" customFormat="1" ht="18" customHeight="1" x14ac:dyDescent="0.25">
      <c r="A197" s="335" t="s">
        <v>462</v>
      </c>
      <c r="B197" s="302"/>
      <c r="C197" s="302"/>
      <c r="D197" s="302"/>
      <c r="E197" s="303"/>
      <c r="F197" s="204"/>
      <c r="G197" s="204"/>
      <c r="H197" s="199"/>
      <c r="I197" s="204"/>
      <c r="J197" s="204"/>
      <c r="K197" s="199"/>
      <c r="L197" s="204"/>
      <c r="M197" s="204"/>
      <c r="N197" s="199"/>
      <c r="O197" s="204"/>
      <c r="P197" s="354"/>
      <c r="Q197" s="355"/>
      <c r="R197" s="204"/>
      <c r="S197" s="354"/>
      <c r="T197" s="355"/>
      <c r="U197" s="204"/>
      <c r="V197" s="354"/>
      <c r="W197" s="355"/>
      <c r="X197" s="204"/>
      <c r="Y197" s="368"/>
      <c r="Z197" s="355"/>
      <c r="AA197" s="204"/>
      <c r="AB197" s="368"/>
      <c r="AC197" s="356"/>
      <c r="AD197" s="204"/>
      <c r="AE197" s="353"/>
      <c r="AF197" s="353"/>
      <c r="AG197" s="204"/>
      <c r="AH197" s="304"/>
      <c r="AI197" s="353"/>
      <c r="AJ197" s="353"/>
      <c r="AK197" s="353"/>
      <c r="AL197" s="353"/>
      <c r="AM197" s="353"/>
      <c r="AN197" s="353"/>
      <c r="AO197" s="353"/>
      <c r="AP197" s="353"/>
      <c r="AQ197" s="353"/>
      <c r="AR197" s="204">
        <f>'FY 2016 by Agency'!AR201</f>
        <v>0</v>
      </c>
      <c r="AS197" s="204">
        <f>'FY 2016 by Agency'!AS201</f>
        <v>0</v>
      </c>
      <c r="AT197" s="358"/>
      <c r="AU197" s="356"/>
      <c r="AV197" s="204"/>
      <c r="AW197" s="356"/>
      <c r="AX197" s="206">
        <v>4500</v>
      </c>
      <c r="AY197" s="304"/>
      <c r="AZ197" s="304"/>
      <c r="BA197" s="304"/>
      <c r="BB197" s="304"/>
      <c r="BC197" s="304"/>
      <c r="BD197" s="207"/>
      <c r="BE197" s="207"/>
      <c r="BI197" s="360"/>
      <c r="BK197" s="230"/>
      <c r="BL197" s="439"/>
      <c r="BM197" s="203"/>
      <c r="BN197" s="362"/>
      <c r="BP197" s="204"/>
      <c r="BQ197" s="66"/>
      <c r="BR197" s="204"/>
      <c r="BS197" s="204"/>
      <c r="BT197" s="66"/>
      <c r="BU197" s="203"/>
      <c r="BV197" s="203"/>
      <c r="BW197" s="206"/>
      <c r="BY197" s="206"/>
      <c r="BZ197" s="206"/>
      <c r="CA197" s="199"/>
      <c r="CC197" s="206"/>
      <c r="CD197" s="355"/>
      <c r="CG197" s="604"/>
    </row>
    <row r="198" spans="1:88" s="144" customFormat="1" ht="18" customHeight="1" x14ac:dyDescent="0.25">
      <c r="A198" s="335" t="s">
        <v>463</v>
      </c>
      <c r="B198" s="302"/>
      <c r="C198" s="302"/>
      <c r="D198" s="302"/>
      <c r="E198" s="303"/>
      <c r="F198" s="204"/>
      <c r="G198" s="204"/>
      <c r="H198" s="199"/>
      <c r="I198" s="204"/>
      <c r="J198" s="204"/>
      <c r="K198" s="199"/>
      <c r="L198" s="204"/>
      <c r="M198" s="204"/>
      <c r="N198" s="199"/>
      <c r="O198" s="204"/>
      <c r="P198" s="354"/>
      <c r="Q198" s="355"/>
      <c r="R198" s="204"/>
      <c r="S198" s="354"/>
      <c r="T198" s="355"/>
      <c r="U198" s="204"/>
      <c r="V198" s="354"/>
      <c r="W198" s="355"/>
      <c r="X198" s="204"/>
      <c r="Y198" s="368"/>
      <c r="Z198" s="355"/>
      <c r="AA198" s="204"/>
      <c r="AB198" s="368"/>
      <c r="AC198" s="356"/>
      <c r="AD198" s="204"/>
      <c r="AE198" s="353"/>
      <c r="AF198" s="353"/>
      <c r="AG198" s="204"/>
      <c r="AH198" s="304"/>
      <c r="AI198" s="353"/>
      <c r="AJ198" s="353"/>
      <c r="AK198" s="353"/>
      <c r="AL198" s="353"/>
      <c r="AM198" s="353"/>
      <c r="AN198" s="353"/>
      <c r="AO198" s="353"/>
      <c r="AP198" s="353"/>
      <c r="AQ198" s="353"/>
      <c r="AR198" s="204">
        <f>'FY 2016 by Agency'!AR202</f>
        <v>0</v>
      </c>
      <c r="AS198" s="204">
        <f>'FY 2016 by Agency'!AS202</f>
        <v>0</v>
      </c>
      <c r="AT198" s="204" t="e">
        <f>AR198-AD196</f>
        <v>#REF!</v>
      </c>
      <c r="AU198" s="304" t="e">
        <f>AT198/AD196</f>
        <v>#REF!</v>
      </c>
      <c r="AV198" s="204">
        <f>AS198-AF196</f>
        <v>-632334.40131578955</v>
      </c>
      <c r="AW198" s="304">
        <f>AV198/AF196</f>
        <v>-1</v>
      </c>
      <c r="AX198" s="206">
        <f>SUM(AX196:AX197)</f>
        <v>556753</v>
      </c>
      <c r="AY198" s="304">
        <f>(587-557)/587</f>
        <v>5.1107325383304938E-2</v>
      </c>
      <c r="AZ198" s="304"/>
      <c r="BA198" s="304"/>
      <c r="BB198" s="304"/>
      <c r="BC198" s="304"/>
      <c r="BD198" s="207"/>
      <c r="BE198" s="207"/>
      <c r="BI198" s="360"/>
      <c r="BK198" s="230"/>
      <c r="BL198" s="439"/>
      <c r="BM198" s="203"/>
      <c r="BN198" s="362"/>
      <c r="BP198" s="204"/>
      <c r="BQ198" s="66"/>
      <c r="BR198" s="204"/>
      <c r="BS198" s="204"/>
      <c r="BT198" s="66"/>
      <c r="BU198" s="203"/>
      <c r="BV198" s="203"/>
      <c r="BW198" s="206"/>
      <c r="BX198" s="354"/>
      <c r="BY198" s="206"/>
      <c r="BZ198" s="206"/>
      <c r="CA198" s="199"/>
      <c r="CC198" s="206"/>
      <c r="CD198" s="355"/>
      <c r="CG198" s="604"/>
    </row>
    <row r="199" spans="1:88" ht="18" customHeight="1" x14ac:dyDescent="0.25">
      <c r="A199" s="363"/>
      <c r="B199" s="302"/>
      <c r="C199" s="302"/>
      <c r="D199" s="302"/>
      <c r="E199" s="303"/>
      <c r="F199" s="204"/>
      <c r="G199" s="204"/>
      <c r="I199" s="204"/>
      <c r="J199" s="204"/>
      <c r="L199" s="204"/>
      <c r="M199" s="204"/>
      <c r="O199" s="204"/>
      <c r="Q199" s="304"/>
      <c r="R199" s="204"/>
      <c r="S199" s="204"/>
      <c r="T199" s="304"/>
      <c r="U199" s="204"/>
      <c r="V199" s="204"/>
      <c r="W199" s="304"/>
      <c r="X199" s="204"/>
      <c r="Y199" s="204"/>
      <c r="Z199" s="204"/>
      <c r="AA199" s="204"/>
      <c r="AD199" s="204"/>
      <c r="AI199" s="202"/>
      <c r="AM199" s="307"/>
      <c r="AN199" s="374"/>
      <c r="AZ199" s="200">
        <f>+AS198+AZ196</f>
        <v>16393</v>
      </c>
      <c r="BI199" s="200"/>
      <c r="BL199" s="405"/>
      <c r="BN199" s="199"/>
      <c r="BP199" s="204"/>
      <c r="BR199" s="204"/>
      <c r="BS199" s="204"/>
      <c r="BW199" s="206"/>
      <c r="BY199" s="206"/>
      <c r="BZ199" s="206"/>
      <c r="CA199" s="199"/>
      <c r="CC199" s="206"/>
      <c r="CD199" s="304"/>
      <c r="CG199" s="562"/>
    </row>
    <row r="200" spans="1:88" ht="18" customHeight="1" x14ac:dyDescent="0.25">
      <c r="A200" s="373" t="s">
        <v>303</v>
      </c>
      <c r="B200" s="302"/>
      <c r="C200" s="302"/>
      <c r="D200" s="302"/>
      <c r="E200" s="303"/>
      <c r="F200" s="204"/>
      <c r="G200" s="204"/>
      <c r="I200" s="204"/>
      <c r="J200" s="204"/>
      <c r="L200" s="204"/>
      <c r="M200" s="204"/>
      <c r="O200" s="204"/>
      <c r="Q200" s="304"/>
      <c r="R200" s="204"/>
      <c r="S200" s="204"/>
      <c r="T200" s="304"/>
      <c r="U200" s="204"/>
      <c r="V200" s="204"/>
      <c r="W200" s="304"/>
      <c r="X200" s="204"/>
      <c r="AA200" s="204"/>
      <c r="AD200" s="204"/>
      <c r="AI200" s="202"/>
      <c r="AM200" s="307"/>
      <c r="AN200" s="374"/>
      <c r="AZ200" s="200">
        <f>+AZ199-2600</f>
        <v>13793</v>
      </c>
      <c r="BI200" s="200"/>
      <c r="BL200" s="405"/>
      <c r="BN200" s="199"/>
      <c r="BP200" s="204"/>
      <c r="BR200" s="204"/>
      <c r="BS200" s="204"/>
      <c r="BU200" s="205"/>
      <c r="BW200" s="206"/>
      <c r="BY200" s="206"/>
      <c r="BZ200" s="206"/>
      <c r="CA200" s="199"/>
      <c r="CC200" s="206"/>
      <c r="CD200" s="304"/>
      <c r="CG200" s="562"/>
    </row>
    <row r="201" spans="1:88" ht="18" customHeight="1" x14ac:dyDescent="0.25">
      <c r="A201" s="414" t="s">
        <v>304</v>
      </c>
      <c r="B201" s="302"/>
      <c r="C201" s="302"/>
      <c r="D201" s="302"/>
      <c r="E201" s="303"/>
      <c r="F201" s="204"/>
      <c r="G201" s="204"/>
      <c r="I201" s="204"/>
      <c r="J201" s="204"/>
      <c r="L201" s="204"/>
      <c r="M201" s="204"/>
      <c r="O201" s="204"/>
      <c r="Q201" s="304"/>
      <c r="R201" s="204"/>
      <c r="S201" s="204"/>
      <c r="T201" s="304"/>
      <c r="U201" s="204"/>
      <c r="V201" s="204"/>
      <c r="W201" s="304"/>
      <c r="X201" s="204"/>
      <c r="AA201" s="204"/>
      <c r="AD201" s="204"/>
      <c r="AI201" s="202"/>
      <c r="AM201" s="307"/>
      <c r="AN201" s="374"/>
      <c r="AX201" s="66">
        <f>16393-2600</f>
        <v>13793</v>
      </c>
      <c r="AZ201" s="66">
        <f>+AZ200/AF196-1</f>
        <v>-0.97818717442653935</v>
      </c>
      <c r="BI201" s="200"/>
      <c r="BL201" s="405"/>
      <c r="BN201" s="199"/>
      <c r="BP201" s="204"/>
      <c r="BR201" s="204"/>
      <c r="BS201" s="204"/>
      <c r="BW201" s="206"/>
      <c r="BY201" s="206"/>
      <c r="BZ201" s="206"/>
      <c r="CA201" s="199"/>
      <c r="CC201" s="206"/>
      <c r="CD201" s="304"/>
      <c r="CG201" s="562"/>
    </row>
    <row r="202" spans="1:88" ht="18" customHeight="1" x14ac:dyDescent="0.25">
      <c r="A202" s="373" t="s">
        <v>305</v>
      </c>
      <c r="B202" s="302"/>
      <c r="C202" s="302"/>
      <c r="D202" s="302"/>
      <c r="E202" s="303"/>
      <c r="F202" s="204"/>
      <c r="G202" s="204"/>
      <c r="I202" s="204"/>
      <c r="J202" s="204"/>
      <c r="L202" s="204"/>
      <c r="M202" s="204"/>
      <c r="O202" s="204"/>
      <c r="Q202" s="304"/>
      <c r="R202" s="204"/>
      <c r="S202" s="204"/>
      <c r="T202" s="304"/>
      <c r="U202" s="204"/>
      <c r="V202" s="204"/>
      <c r="W202" s="304"/>
      <c r="X202" s="204"/>
      <c r="AA202" s="204"/>
      <c r="AD202" s="204"/>
      <c r="AI202" s="202"/>
      <c r="AM202" s="307"/>
      <c r="AN202" s="374"/>
      <c r="BI202" s="200"/>
      <c r="BL202" s="405"/>
      <c r="BN202" s="199"/>
      <c r="BP202" s="204"/>
      <c r="BR202" s="204"/>
      <c r="BS202" s="204"/>
      <c r="BW202" s="206"/>
      <c r="BY202" s="206"/>
      <c r="BZ202" s="206"/>
      <c r="CA202" s="199"/>
      <c r="CC202" s="206"/>
      <c r="CD202" s="304"/>
      <c r="CG202" s="562"/>
    </row>
    <row r="203" spans="1:88" ht="18" customHeight="1" x14ac:dyDescent="0.25">
      <c r="A203" s="373"/>
      <c r="B203" s="302"/>
      <c r="C203" s="302"/>
      <c r="D203" s="302"/>
      <c r="E203" s="303"/>
      <c r="F203" s="204"/>
      <c r="G203" s="204"/>
      <c r="I203" s="204"/>
      <c r="J203" s="204"/>
      <c r="L203" s="204"/>
      <c r="M203" s="204"/>
      <c r="O203" s="204"/>
      <c r="Q203" s="304"/>
      <c r="R203" s="204"/>
      <c r="S203" s="204"/>
      <c r="T203" s="304"/>
      <c r="U203" s="204"/>
      <c r="V203" s="204"/>
      <c r="W203" s="304"/>
      <c r="X203" s="204"/>
      <c r="AA203" s="204"/>
      <c r="AD203" s="204"/>
      <c r="AI203" s="202"/>
      <c r="AM203" s="307"/>
      <c r="AN203" s="374"/>
      <c r="BI203" s="200"/>
      <c r="BL203" s="405"/>
      <c r="BN203" s="199"/>
      <c r="BP203" s="204"/>
      <c r="BR203" s="204"/>
      <c r="BS203" s="204"/>
      <c r="BW203" s="206"/>
      <c r="BY203" s="206"/>
      <c r="BZ203" s="206"/>
      <c r="CA203" s="199"/>
      <c r="CC203" s="206"/>
      <c r="CD203" s="304"/>
      <c r="CG203" s="562"/>
    </row>
    <row r="204" spans="1:88" ht="18" customHeight="1" x14ac:dyDescent="0.25">
      <c r="B204" s="302"/>
      <c r="C204" s="302"/>
      <c r="D204" s="302"/>
      <c r="E204" s="303"/>
      <c r="F204" s="204"/>
      <c r="G204" s="204"/>
      <c r="I204" s="204"/>
      <c r="J204" s="204"/>
      <c r="L204" s="204"/>
      <c r="M204" s="204"/>
      <c r="O204" s="204"/>
      <c r="P204" s="317"/>
      <c r="Q204" s="316"/>
      <c r="R204" s="204"/>
      <c r="S204" s="204"/>
      <c r="T204" s="304"/>
      <c r="U204" s="204"/>
      <c r="V204" s="204"/>
      <c r="W204" s="304"/>
      <c r="X204" s="204"/>
      <c r="AA204" s="204"/>
      <c r="AD204" s="204"/>
      <c r="AI204" s="202"/>
      <c r="AM204" s="307"/>
      <c r="AN204" s="374"/>
      <c r="BI204" s="200"/>
      <c r="BL204" s="405"/>
      <c r="BN204" s="199"/>
      <c r="BP204" s="204"/>
      <c r="BR204" s="204"/>
      <c r="BS204" s="204"/>
      <c r="BW204" s="206"/>
      <c r="BY204" s="206"/>
      <c r="BZ204" s="206"/>
      <c r="CA204" s="199"/>
      <c r="CC204" s="206"/>
      <c r="CD204" s="304"/>
      <c r="CG204" s="562"/>
    </row>
    <row r="205" spans="1:88" s="289" customFormat="1" ht="18" customHeight="1" x14ac:dyDescent="0.25">
      <c r="A205" s="283" t="s">
        <v>307</v>
      </c>
      <c r="B205" s="375"/>
      <c r="C205" s="375"/>
      <c r="D205" s="375"/>
      <c r="E205" s="376"/>
      <c r="F205" s="287"/>
      <c r="G205" s="287"/>
      <c r="H205" s="288"/>
      <c r="I205" s="287"/>
      <c r="J205" s="287"/>
      <c r="K205" s="288"/>
      <c r="L205" s="287"/>
      <c r="M205" s="287"/>
      <c r="N205" s="288"/>
      <c r="O205" s="287"/>
      <c r="P205" s="285"/>
      <c r="Q205" s="377"/>
      <c r="R205" s="287"/>
      <c r="S205" s="287"/>
      <c r="T205" s="407"/>
      <c r="U205" s="287"/>
      <c r="V205" s="287"/>
      <c r="W205" s="407"/>
      <c r="X205" s="287"/>
      <c r="AA205" s="287"/>
      <c r="AC205" s="290"/>
      <c r="AD205" s="287"/>
      <c r="AE205" s="291"/>
      <c r="AF205" s="292"/>
      <c r="AG205" s="292"/>
      <c r="AH205" s="292"/>
      <c r="AI205" s="292"/>
      <c r="AM205" s="383"/>
      <c r="AN205" s="384"/>
      <c r="AO205" s="295"/>
      <c r="AP205" s="287"/>
      <c r="AQ205" s="287"/>
      <c r="AR205" s="287"/>
      <c r="AS205" s="287"/>
      <c r="AT205" s="287"/>
      <c r="AU205" s="296"/>
      <c r="AV205" s="295"/>
      <c r="AW205" s="287"/>
      <c r="BD205" s="298"/>
      <c r="BE205" s="298"/>
      <c r="BI205" s="290"/>
      <c r="BK205" s="299"/>
      <c r="BL205" s="408"/>
      <c r="BM205" s="287"/>
      <c r="BN205" s="288"/>
      <c r="BP205" s="287"/>
      <c r="BR205" s="287"/>
      <c r="BS205" s="287"/>
      <c r="BU205" s="287"/>
      <c r="BV205" s="287"/>
      <c r="BW205" s="296"/>
      <c r="BY205" s="296"/>
      <c r="BZ205" s="296"/>
      <c r="CA205" s="288"/>
      <c r="CC205" s="296"/>
      <c r="CD205" s="407"/>
      <c r="CG205" s="677"/>
    </row>
    <row r="206" spans="1:88" ht="18" customHeight="1" x14ac:dyDescent="0.25">
      <c r="A206" s="313" t="s">
        <v>308</v>
      </c>
      <c r="B206" s="302">
        <f>'FY 2016 by Agency'!B210*Inflator!$E$2</f>
        <v>453472.31578947365</v>
      </c>
      <c r="C206" s="302">
        <f>'FY 2016 by Agency'!C210*Inflator!$E$3</f>
        <v>317927.16074188566</v>
      </c>
      <c r="D206" s="302">
        <f t="shared" si="166"/>
        <v>-135545.15504758799</v>
      </c>
      <c r="E206" s="303">
        <f>(C206-B206)/B206</f>
        <v>-0.29890502755743831</v>
      </c>
      <c r="F206" s="204">
        <f>'FY 2016 by Agency'!F210*Inflator!$E$4</f>
        <v>319909.91739626951</v>
      </c>
      <c r="G206" s="204">
        <f t="shared" si="167"/>
        <v>1982.7566543838475</v>
      </c>
      <c r="H206" s="199">
        <f>(F206-C206)/C206</f>
        <v>6.2365123185986011E-3</v>
      </c>
      <c r="I206" s="204">
        <f>'FY 2016 by Agency'!I210*Inflator!$E$5</f>
        <v>335845.42469319451</v>
      </c>
      <c r="J206" s="204">
        <f t="shared" si="168"/>
        <v>15935.507296925003</v>
      </c>
      <c r="K206" s="199">
        <f t="shared" si="169"/>
        <v>4.9812482922140341E-2</v>
      </c>
      <c r="L206" s="204">
        <f>'FY 2016 by Agency'!L210*Inflator!$E$6</f>
        <v>397360.73827699019</v>
      </c>
      <c r="M206" s="204">
        <f t="shared" si="170"/>
        <v>61515.31358379568</v>
      </c>
      <c r="N206" s="199">
        <f t="shared" si="171"/>
        <v>0.18316555492751427</v>
      </c>
      <c r="O206" s="204">
        <f>'FY 2016 by Agency'!O210*Inflator!$E$7</f>
        <v>434595.86378035898</v>
      </c>
      <c r="P206" s="204">
        <f>O206-L206</f>
        <v>37235.125503368792</v>
      </c>
      <c r="Q206" s="304">
        <f>P206/L206</f>
        <v>9.3706101072857179E-2</v>
      </c>
      <c r="R206" s="204">
        <f>'FY 2016 by Agency'!R210*Inflator!$E$8</f>
        <v>452671.82077393075</v>
      </c>
      <c r="S206" s="204">
        <f t="shared" ref="S206:S214" si="247">R206-O206</f>
        <v>18075.956993571774</v>
      </c>
      <c r="T206" s="205">
        <f t="shared" ref="T206:T214" si="248">S206/O206</f>
        <v>4.1592565645556183E-2</v>
      </c>
      <c r="U206" s="204">
        <f>'FY 2016 by Agency'!U210*Inflator!$E$9</f>
        <v>461419.34184350126</v>
      </c>
      <c r="V206" s="204">
        <f>U206-R206</f>
        <v>8747.5210695705027</v>
      </c>
      <c r="W206" s="304">
        <f>V206/R206</f>
        <v>1.93242005977198E-2</v>
      </c>
      <c r="X206" s="204">
        <f>'FY 2016 by Agency'!X210*Inflator!$E$10</f>
        <v>481498.7872340426</v>
      </c>
      <c r="Y206" s="206">
        <f>X206-U206</f>
        <v>20079.445390541339</v>
      </c>
      <c r="Z206" s="304">
        <f>Y206/U206</f>
        <v>4.3516696353296018E-2</v>
      </c>
      <c r="AA206" s="204">
        <f>'FY 2016 by Agency'!AA210*Inflator!$E$11</f>
        <v>527682.82287352672</v>
      </c>
      <c r="AB206" s="206">
        <f t="shared" ref="AB206:AB231" si="249">AA206-X206</f>
        <v>46184.035639484122</v>
      </c>
      <c r="AC206" s="304">
        <f t="shared" ref="AC206:AC231" si="250">AB206/X206</f>
        <v>9.5917241878815784E-2</v>
      </c>
      <c r="AD206" s="204" t="e">
        <f>'FY 2016 by Agency'!AD210*Inflator!#REF!</f>
        <v>#REF!</v>
      </c>
      <c r="AE206" s="204">
        <f>'FY 2016 by Agency'!AE210*Inflator!$B$8</f>
        <v>0</v>
      </c>
      <c r="AF206" s="204">
        <f>'FY 2016 by Agency'!AF210*Inflator!$E$12</f>
        <v>397115.6165413534</v>
      </c>
      <c r="AG206" s="204">
        <f t="shared" ref="AG206:AG231" si="251">AF206-AA206</f>
        <v>-130567.20633217331</v>
      </c>
      <c r="AH206" s="304">
        <f t="shared" ref="AH206:AH231" si="252">AG206/AA206</f>
        <v>-0.24743501336875473</v>
      </c>
      <c r="AI206" s="204">
        <f>'FY 2016 by Agency'!AI210*Inflator!$B$8</f>
        <v>0</v>
      </c>
      <c r="AJ206" s="204">
        <f>'FY 2016 by Agency'!AJ210*Inflator!$B$8</f>
        <v>0</v>
      </c>
      <c r="AK206" s="204">
        <f>'FY 2016 by Agency'!AK210</f>
        <v>471409</v>
      </c>
      <c r="AL206" s="204">
        <f>'FY 2016 by Agency'!AL210</f>
        <v>0</v>
      </c>
      <c r="AM206" s="204">
        <f>'FY 2016 by Agency'!AM210</f>
        <v>471409</v>
      </c>
      <c r="AN206" s="204">
        <f>'FY 2016 by Agency'!AN210</f>
        <v>403905</v>
      </c>
      <c r="AO206" s="204">
        <f>'FY 2016 by Agency'!AO210</f>
        <v>412909</v>
      </c>
      <c r="AP206" s="204">
        <f>'FY 2016 by Agency'!AP210</f>
        <v>0</v>
      </c>
      <c r="AQ206" s="204">
        <f>'FY 2016 by Agency'!AQ210</f>
        <v>0</v>
      </c>
      <c r="AR206" s="204">
        <f>'FY 2016 by Agency'!AR210</f>
        <v>0</v>
      </c>
      <c r="AS206" s="204">
        <f>'FY 2016 by Agency'!AS210</f>
        <v>404768.30356999999</v>
      </c>
      <c r="AT206" s="204" t="e">
        <f t="shared" ref="AT206:AT231" si="253">AR206-AD206</f>
        <v>#REF!</v>
      </c>
      <c r="AU206" s="304" t="e">
        <f t="shared" ref="AU206:AU231" si="254">AT206/AD206</f>
        <v>#REF!</v>
      </c>
      <c r="AV206" s="204">
        <f t="shared" ref="AV206:AV231" si="255">AS206-AF206</f>
        <v>7652.6870286465855</v>
      </c>
      <c r="AW206" s="304">
        <f t="shared" ref="AW206:AW231" si="256">AV206/AF206</f>
        <v>1.9270677631106653E-2</v>
      </c>
      <c r="AX206" s="410" t="s">
        <v>464</v>
      </c>
      <c r="AY206" s="200">
        <v>410909</v>
      </c>
      <c r="AZ206" s="207">
        <f t="shared" ref="AZ206:AZ227" si="257">+AY206-AO206</f>
        <v>-2000</v>
      </c>
      <c r="BA206" s="207">
        <f t="shared" ref="BA206:BA228" si="258">+AZ206+AV206</f>
        <v>5652.6870286465855</v>
      </c>
      <c r="BB206" s="207">
        <f t="shared" ref="BB206:BB228" si="259">+AZ206+AS206</f>
        <v>402768.30356999999</v>
      </c>
      <c r="BC206" s="304">
        <f t="shared" ref="BC206:BC231" si="260">+BB206/AF206-1</f>
        <v>1.4234360959858972E-2</v>
      </c>
      <c r="BI206" s="200">
        <v>410909</v>
      </c>
      <c r="BJ206" s="200">
        <f>BI206-AY206</f>
        <v>0</v>
      </c>
      <c r="BK206" s="200">
        <f>BI206+AP206+AQ206</f>
        <v>410909</v>
      </c>
      <c r="BL206" s="307">
        <f>'FY 2016 by Agency'!BB210*Inflator!$E$13</f>
        <v>445035.15342163865</v>
      </c>
      <c r="BM206" s="204">
        <f>BL206-AF206</f>
        <v>47919.536880285246</v>
      </c>
      <c r="BN206" s="199">
        <f t="shared" ref="BN206:BN229" si="261">BM206/AF206</f>
        <v>0.12066898123432317</v>
      </c>
      <c r="BO206" s="204">
        <f>'FY 2016 by Agency'!AX210*Inflator!$E$13</f>
        <v>451786.73390296003</v>
      </c>
      <c r="BP206" s="204">
        <f t="shared" si="185"/>
        <v>54671.117361606623</v>
      </c>
      <c r="BQ206" s="199">
        <f t="shared" si="186"/>
        <v>0.13767052990199763</v>
      </c>
      <c r="BR206" s="204">
        <f>'FY 2016 by Agency'!BE210*Inflator!$E$14</f>
        <v>444713.90971394512</v>
      </c>
      <c r="BS206" s="204">
        <f t="shared" si="187"/>
        <v>-7072.8241890149075</v>
      </c>
      <c r="BT206" s="199">
        <f t="shared" si="188"/>
        <v>-1.5655227695406591E-2</v>
      </c>
      <c r="BU206" s="204">
        <f>'FY 2016 by Agency'!BL210*Inflator!$E$14</f>
        <v>444713.90971394512</v>
      </c>
      <c r="BV206" s="204">
        <f>BU206-BL206</f>
        <v>-321.24370769353118</v>
      </c>
      <c r="BW206" s="206">
        <v>469424</v>
      </c>
      <c r="BX206" s="206">
        <f>'FY 2016 by Agency'!BW210*Inflator!E15</f>
        <v>495847.162708883</v>
      </c>
      <c r="BY206" s="204">
        <f>'FY 2016 by Agency'!BZ210*Inflator!$E$15</f>
        <v>485499.76077396655</v>
      </c>
      <c r="BZ206" s="206">
        <f>BW206-BR206</f>
        <v>24710.090286054881</v>
      </c>
      <c r="CA206" s="199">
        <f t="shared" si="190"/>
        <v>5.5564014856088577E-2</v>
      </c>
      <c r="CB206" s="308">
        <f>'FY 2016 by Agency'!CF210*Inflator!$E$16</f>
        <v>522191.53999422461</v>
      </c>
      <c r="CC206" s="206">
        <f t="shared" ref="CC206:CC231" si="262">CB206-BY206</f>
        <v>36691.77922025806</v>
      </c>
      <c r="CD206" s="304">
        <f t="shared" ref="CD206:CD231" si="263">CC206/BY206</f>
        <v>7.5575277651559136E-2</v>
      </c>
      <c r="CE206" s="206">
        <f>'FY 2016 by Agency'!CK210*Inflator!$E$17</f>
        <v>592564.34740719758</v>
      </c>
      <c r="CF206" s="206">
        <f>CE206-CB206</f>
        <v>70372.807412972965</v>
      </c>
      <c r="CG206" s="562">
        <f>CF206/CB206</f>
        <v>0.13476435756456584</v>
      </c>
      <c r="CH206" s="206">
        <f>'FY 2016 by Agency'!CN210*Inflator!$E$18</f>
        <v>598461</v>
      </c>
      <c r="CI206" s="753">
        <f>CH206-CE206</f>
        <v>5896.6525928024203</v>
      </c>
      <c r="CJ206" s="304">
        <f>CI206/CE206</f>
        <v>9.9510755559351367E-3</v>
      </c>
    </row>
    <row r="207" spans="1:88" ht="18" customHeight="1" x14ac:dyDescent="0.25">
      <c r="A207" s="313" t="s">
        <v>309</v>
      </c>
      <c r="B207" s="302">
        <f>'FY 2016 by Agency'!B211*Inflator!$E$2</f>
        <v>4312.681818181818</v>
      </c>
      <c r="C207" s="302">
        <f>'FY 2016 by Agency'!C211*Inflator!$E$3</f>
        <v>0</v>
      </c>
      <c r="D207" s="302">
        <f t="shared" si="166"/>
        <v>-4312.681818181818</v>
      </c>
      <c r="E207" s="303">
        <f>(C207-B207)/B207</f>
        <v>-1</v>
      </c>
      <c r="F207" s="204">
        <f>'FY 2016 by Agency'!F211*Inflator!$E$4</f>
        <v>0</v>
      </c>
      <c r="G207" s="204">
        <f t="shared" si="167"/>
        <v>0</v>
      </c>
      <c r="H207" s="310" t="s">
        <v>132</v>
      </c>
      <c r="I207" s="204">
        <f>'FY 2016 by Agency'!I211*Inflator!$E$5</f>
        <v>4405.602082558572</v>
      </c>
      <c r="J207" s="204">
        <f t="shared" si="168"/>
        <v>4405.602082558572</v>
      </c>
      <c r="K207" s="199" t="e">
        <f t="shared" si="169"/>
        <v>#DIV/0!</v>
      </c>
      <c r="L207" s="204">
        <f>'FY 2016 by Agency'!L211*Inflator!$E$6</f>
        <v>3365.9432933478734</v>
      </c>
      <c r="M207" s="204">
        <f t="shared" si="170"/>
        <v>-1039.6587892106986</v>
      </c>
      <c r="N207" s="199">
        <f t="shared" si="171"/>
        <v>-0.23598563141383672</v>
      </c>
      <c r="O207" s="204">
        <f>'FY 2016 by Agency'!O211*Inflator!$E$7</f>
        <v>5917.4931362196403</v>
      </c>
      <c r="P207" s="204">
        <f t="shared" ref="P207:P231" si="264">O207-L207</f>
        <v>2551.5498428717669</v>
      </c>
      <c r="Q207" s="304">
        <f>P207/L207</f>
        <v>0.75804896889213935</v>
      </c>
      <c r="R207" s="204">
        <f>'FY 2016 by Agency'!R211*Inflator!$E$8</f>
        <v>8133.0448065173123</v>
      </c>
      <c r="S207" s="204">
        <f t="shared" si="247"/>
        <v>2215.551670297672</v>
      </c>
      <c r="T207" s="304">
        <f t="shared" si="248"/>
        <v>0.37440713817423465</v>
      </c>
      <c r="U207" s="204">
        <f>'FY 2016 by Agency'!U211*Inflator!$E$9</f>
        <v>10100.585212201589</v>
      </c>
      <c r="V207" s="204">
        <f t="shared" ref="V207:V231" si="265">U207-R207</f>
        <v>1967.5404056842772</v>
      </c>
      <c r="W207" s="304">
        <f>V207/R207</f>
        <v>0.24191928760894243</v>
      </c>
      <c r="X207" s="204">
        <f>'FY 2016 by Agency'!X211*Inflator!$E$10</f>
        <v>8980.6119402985078</v>
      </c>
      <c r="Y207" s="206">
        <f t="shared" ref="Y207:Y222" si="266">X207-U207</f>
        <v>-1119.9732719030817</v>
      </c>
      <c r="Z207" s="304">
        <f>Y207/U207</f>
        <v>-0.11088201805873038</v>
      </c>
      <c r="AA207" s="204">
        <f>'FY 2016 by Agency'!AA211*Inflator!$E$11</f>
        <v>10330.35998725709</v>
      </c>
      <c r="AB207" s="206">
        <f t="shared" si="249"/>
        <v>1349.7480469585826</v>
      </c>
      <c r="AC207" s="304">
        <f t="shared" si="250"/>
        <v>0.15029577671671648</v>
      </c>
      <c r="AD207" s="204" t="e">
        <f>'FY 2016 by Agency'!AD211*Inflator!#REF!</f>
        <v>#REF!</v>
      </c>
      <c r="AE207" s="204">
        <f>'FY 2016 by Agency'!AE211*Inflator!$B$8</f>
        <v>0</v>
      </c>
      <c r="AF207" s="204">
        <f>'FY 2016 by Agency'!AF211*Inflator!$E$12</f>
        <v>2678.5460526315792</v>
      </c>
      <c r="AG207" s="204">
        <f t="shared" si="251"/>
        <v>-7651.8139346255111</v>
      </c>
      <c r="AH207" s="304">
        <f t="shared" si="252"/>
        <v>-0.74071125730994158</v>
      </c>
      <c r="AI207" s="204">
        <f>'FY 2016 by Agency'!AI211*Inflator!$B$8</f>
        <v>0</v>
      </c>
      <c r="AJ207" s="204">
        <f>'FY 2016 by Agency'!AJ211*Inflator!$B$8</f>
        <v>0</v>
      </c>
      <c r="AK207" s="204">
        <f>'FY 2016 by Agency'!AK211</f>
        <v>9000</v>
      </c>
      <c r="AL207" s="204">
        <f>'FY 2016 by Agency'!AL211</f>
        <v>0</v>
      </c>
      <c r="AM207" s="204">
        <f>'FY 2016 by Agency'!AM211</f>
        <v>9000</v>
      </c>
      <c r="AN207" s="204">
        <f>'FY 2016 by Agency'!AN211</f>
        <v>9000</v>
      </c>
      <c r="AO207" s="204">
        <f>'FY 2016 by Agency'!AO211</f>
        <v>9000</v>
      </c>
      <c r="AP207" s="204">
        <f>'FY 2016 by Agency'!AP211</f>
        <v>0</v>
      </c>
      <c r="AQ207" s="204">
        <f>'FY 2016 by Agency'!AQ211</f>
        <v>0</v>
      </c>
      <c r="AR207" s="204">
        <f>'FY 2016 by Agency'!AR211</f>
        <v>0</v>
      </c>
      <c r="AS207" s="204">
        <f>'FY 2016 by Agency'!AS211</f>
        <v>2840.6934099999999</v>
      </c>
      <c r="AT207" s="204" t="e">
        <f t="shared" si="253"/>
        <v>#REF!</v>
      </c>
      <c r="AU207" s="304" t="e">
        <f t="shared" si="254"/>
        <v>#REF!</v>
      </c>
      <c r="AV207" s="204">
        <f t="shared" si="255"/>
        <v>162.14735736842067</v>
      </c>
      <c r="AW207" s="304">
        <f t="shared" si="256"/>
        <v>6.053558691257762E-2</v>
      </c>
      <c r="AX207" s="410" t="s">
        <v>465</v>
      </c>
      <c r="AY207" s="200">
        <v>9000</v>
      </c>
      <c r="AZ207" s="207">
        <f t="shared" si="257"/>
        <v>0</v>
      </c>
      <c r="BA207" s="207">
        <f t="shared" si="258"/>
        <v>162.14735736842067</v>
      </c>
      <c r="BB207" s="207">
        <f t="shared" si="259"/>
        <v>2840.6934099999999</v>
      </c>
      <c r="BC207" s="304">
        <f t="shared" si="260"/>
        <v>6.0535586912577655E-2</v>
      </c>
      <c r="BI207" s="200">
        <v>3000</v>
      </c>
      <c r="BJ207" s="200">
        <f t="shared" ref="BJ207:BJ229" si="267">BI207-AY207</f>
        <v>-6000</v>
      </c>
      <c r="BK207" s="200">
        <f t="shared" ref="BK207:BK229" si="268">BI207+AP207+AQ207</f>
        <v>3000</v>
      </c>
      <c r="BL207" s="307">
        <f>'FY 2016 by Agency'!BB211*Inflator!$E$13</f>
        <v>3123.2890925328043</v>
      </c>
      <c r="BM207" s="204">
        <f t="shared" ref="BM207:BM231" si="269">BL207-AF207</f>
        <v>444.74303990122507</v>
      </c>
      <c r="BN207" s="199">
        <f t="shared" si="261"/>
        <v>0.16603897456393568</v>
      </c>
      <c r="BO207" s="204">
        <f>'FY 2016 by Agency'!AX211*Inflator!$E$13</f>
        <v>3298.44369850473</v>
      </c>
      <c r="BP207" s="204">
        <f t="shared" si="185"/>
        <v>619.89764587315085</v>
      </c>
      <c r="BQ207" s="199">
        <f t="shared" si="186"/>
        <v>0.23143064696017557</v>
      </c>
      <c r="BR207" s="204">
        <f>'FY 2016 by Agency'!BE211*Inflator!$E$14</f>
        <v>2761.2979737783071</v>
      </c>
      <c r="BS207" s="204">
        <f t="shared" si="187"/>
        <v>-537.14572472642294</v>
      </c>
      <c r="BT207" s="199">
        <f t="shared" si="188"/>
        <v>-0.16284823202224885</v>
      </c>
      <c r="BU207" s="204">
        <f>'FY 2016 by Agency'!BL211*Inflator!$E$14</f>
        <v>2761.2979737783071</v>
      </c>
      <c r="BV207" s="204">
        <f t="shared" ref="BV207:BV231" si="270">BU207-BL207</f>
        <v>-361.99111875449717</v>
      </c>
      <c r="BW207" s="206">
        <v>5000</v>
      </c>
      <c r="BX207" s="206">
        <f>'FY 2016 by Agency'!BW211*Inflator!E15</f>
        <v>5281.4423922603337</v>
      </c>
      <c r="BY207" s="204">
        <f>'FY 2016 by Agency'!BZ211*Inflator!$E$15</f>
        <v>1669.9920844327175</v>
      </c>
      <c r="BZ207" s="206">
        <f>BW207-BR207</f>
        <v>2238.7020262216929</v>
      </c>
      <c r="CA207" s="199">
        <f t="shared" si="190"/>
        <v>0.8107426462050592</v>
      </c>
      <c r="CB207" s="308">
        <f>'FY 2016 by Agency'!CF211*Inflator!$E$16</f>
        <v>981.12301472711511</v>
      </c>
      <c r="CC207" s="206">
        <f t="shared" si="262"/>
        <v>-688.86906970560244</v>
      </c>
      <c r="CD207" s="304">
        <f t="shared" si="263"/>
        <v>-0.41249840411046351</v>
      </c>
      <c r="CE207" s="206">
        <f>'FY 2016 by Agency'!CK211*Inflator!$E$17</f>
        <v>2552.4227826579772</v>
      </c>
      <c r="CF207" s="206">
        <f t="shared" ref="CF207:CF229" si="271">CE207-CB207</f>
        <v>1571.2997679308621</v>
      </c>
      <c r="CG207" s="562">
        <f t="shared" ref="CG207:CG229" si="272">CF207/CB207</f>
        <v>1.6015318612904987</v>
      </c>
      <c r="CH207" s="206">
        <f>'FY 2016 by Agency'!CN211*Inflator!$E$18</f>
        <v>5000</v>
      </c>
      <c r="CI207" s="753">
        <f t="shared" ref="CI207:CI231" si="273">CH207-CE207</f>
        <v>2447.5772173420228</v>
      </c>
      <c r="CJ207" s="304">
        <f t="shared" ref="CJ207:CJ231" si="274">CI207/CE207</f>
        <v>0.9589231196225364</v>
      </c>
    </row>
    <row r="208" spans="1:88" ht="18" customHeight="1" x14ac:dyDescent="0.25">
      <c r="A208" s="313" t="s">
        <v>310</v>
      </c>
      <c r="B208" s="302">
        <f>'FY 2016 by Agency'!B212*Inflator!$E$2</f>
        <v>11390.824162679426</v>
      </c>
      <c r="C208" s="302">
        <f>'FY 2016 by Agency'!C212*Inflator!$E$3</f>
        <v>11038.712132921175</v>
      </c>
      <c r="D208" s="302">
        <f t="shared" si="166"/>
        <v>-352.11202975825108</v>
      </c>
      <c r="E208" s="303">
        <f>(C208-B208)/B208</f>
        <v>-3.0911901081916528E-2</v>
      </c>
      <c r="F208" s="204">
        <f>'FY 2016 by Agency'!F212*Inflator!$E$4</f>
        <v>10867.975637609441</v>
      </c>
      <c r="G208" s="204">
        <f t="shared" si="167"/>
        <v>-170.73649531173396</v>
      </c>
      <c r="H208" s="199">
        <f>(F208-C208)/C208</f>
        <v>-1.5467066561373583E-2</v>
      </c>
      <c r="I208" s="204">
        <f>'FY 2016 by Agency'!I212*Inflator!$E$5</f>
        <v>3054.9795462997399</v>
      </c>
      <c r="J208" s="204">
        <f t="shared" si="168"/>
        <v>-7812.9960913097011</v>
      </c>
      <c r="K208" s="199">
        <f t="shared" si="169"/>
        <v>-0.71890077341287417</v>
      </c>
      <c r="L208" s="204">
        <f>'FY 2016 by Agency'!L212*Inflator!$E$6</f>
        <v>6223.720828789531</v>
      </c>
      <c r="M208" s="204">
        <f t="shared" si="170"/>
        <v>3168.741282489791</v>
      </c>
      <c r="N208" s="199">
        <f t="shared" si="171"/>
        <v>1.0372381335016929</v>
      </c>
      <c r="O208" s="204">
        <f>'FY 2016 by Agency'!O212*Inflator!$E$7</f>
        <v>13828.620908130937</v>
      </c>
      <c r="P208" s="204">
        <f t="shared" si="264"/>
        <v>7604.9000793414061</v>
      </c>
      <c r="Q208" s="304">
        <f>P208/L208</f>
        <v>1.2219217873916919</v>
      </c>
      <c r="R208" s="204">
        <f>'FY 2016 by Agency'!R212*Inflator!$E$8</f>
        <v>13380.998981670062</v>
      </c>
      <c r="S208" s="204">
        <f t="shared" si="247"/>
        <v>-447.62192646087533</v>
      </c>
      <c r="T208" s="304">
        <f t="shared" si="248"/>
        <v>-3.2369238366906354E-2</v>
      </c>
      <c r="U208" s="204">
        <f>'FY 2016 by Agency'!U212*Inflator!$E$9</f>
        <v>36374.053050397873</v>
      </c>
      <c r="V208" s="204">
        <f t="shared" si="265"/>
        <v>22993.054068727812</v>
      </c>
      <c r="W208" s="304">
        <f>V208/R208</f>
        <v>1.7183361347104806</v>
      </c>
      <c r="X208" s="204">
        <f>'FY 2016 by Agency'!X212*Inflator!$E$10</f>
        <v>35084.913305811373</v>
      </c>
      <c r="Y208" s="206">
        <f t="shared" si="266"/>
        <v>-1289.1397445865005</v>
      </c>
      <c r="Z208" s="304">
        <f>Y208/U208</f>
        <v>-3.5441190532172477E-2</v>
      </c>
      <c r="AA208" s="204">
        <f>'FY 2016 by Agency'!AA212*Inflator!$E$11</f>
        <v>37638.092704683026</v>
      </c>
      <c r="AB208" s="206">
        <f t="shared" si="249"/>
        <v>2553.1793988716527</v>
      </c>
      <c r="AC208" s="304">
        <f t="shared" si="250"/>
        <v>7.2771432456375795E-2</v>
      </c>
      <c r="AD208" s="204" t="e">
        <f>'FY 2016 by Agency'!AD212*Inflator!#REF!</f>
        <v>#REF!</v>
      </c>
      <c r="AE208" s="204">
        <f>'FY 2016 by Agency'!AE212*Inflator!$B$8</f>
        <v>0</v>
      </c>
      <c r="AF208" s="204">
        <f>'FY 2016 by Agency'!AF212*Inflator!$E$12</f>
        <v>36410.391917293236</v>
      </c>
      <c r="AG208" s="204">
        <f t="shared" si="251"/>
        <v>-1227.7007873897892</v>
      </c>
      <c r="AH208" s="304">
        <f t="shared" si="252"/>
        <v>-3.2618570686421516E-2</v>
      </c>
      <c r="AI208" s="204">
        <f>'FY 2016 by Agency'!AI212*Inflator!$B$8</f>
        <v>0</v>
      </c>
      <c r="AJ208" s="204">
        <f>'FY 2016 by Agency'!AJ212*Inflator!$B$8</f>
        <v>0</v>
      </c>
      <c r="AK208" s="204">
        <f>'FY 2016 by Agency'!AK212</f>
        <v>33045</v>
      </c>
      <c r="AL208" s="204">
        <f>'FY 2016 by Agency'!AL212</f>
        <v>0</v>
      </c>
      <c r="AM208" s="204">
        <f>'FY 2016 by Agency'!AM212</f>
        <v>33045</v>
      </c>
      <c r="AN208" s="204">
        <f>'FY 2016 by Agency'!AN212</f>
        <v>33045</v>
      </c>
      <c r="AO208" s="204">
        <f>'FY 2016 by Agency'!AO212</f>
        <v>33045</v>
      </c>
      <c r="AP208" s="204">
        <f>'FY 2016 by Agency'!AP212</f>
        <v>0</v>
      </c>
      <c r="AQ208" s="204">
        <f>'FY 2016 by Agency'!AQ212</f>
        <v>0</v>
      </c>
      <c r="AR208" s="204">
        <f>'FY 2016 by Agency'!AR212</f>
        <v>0</v>
      </c>
      <c r="AS208" s="204">
        <f>'FY 2016 by Agency'!AS212</f>
        <v>32243.889360000001</v>
      </c>
      <c r="AT208" s="204" t="e">
        <f t="shared" si="253"/>
        <v>#REF!</v>
      </c>
      <c r="AU208" s="304" t="e">
        <f t="shared" si="254"/>
        <v>#REF!</v>
      </c>
      <c r="AV208" s="204">
        <f t="shared" si="255"/>
        <v>-4166.5025572932354</v>
      </c>
      <c r="AW208" s="304">
        <f t="shared" si="256"/>
        <v>-0.11443168661181978</v>
      </c>
      <c r="AX208" s="410" t="s">
        <v>466</v>
      </c>
      <c r="AY208" s="200">
        <v>33045</v>
      </c>
      <c r="AZ208" s="207">
        <f t="shared" si="257"/>
        <v>0</v>
      </c>
      <c r="BA208" s="207">
        <f t="shared" si="258"/>
        <v>-4166.5025572932354</v>
      </c>
      <c r="BB208" s="207">
        <f t="shared" si="259"/>
        <v>32243.889360000001</v>
      </c>
      <c r="BC208" s="304">
        <f t="shared" si="260"/>
        <v>-0.11443168661181979</v>
      </c>
      <c r="BI208" s="200">
        <v>33045</v>
      </c>
      <c r="BJ208" s="200">
        <f t="shared" si="267"/>
        <v>0</v>
      </c>
      <c r="BK208" s="200">
        <f t="shared" si="268"/>
        <v>33045</v>
      </c>
      <c r="BL208" s="307">
        <f>'FY 2016 by Agency'!BB212*Inflator!$E$13</f>
        <v>35451.551224925235</v>
      </c>
      <c r="BM208" s="204">
        <f t="shared" si="269"/>
        <v>-958.84069236800133</v>
      </c>
      <c r="BN208" s="199">
        <f t="shared" si="261"/>
        <v>-2.6334259036431759E-2</v>
      </c>
      <c r="BO208" s="204">
        <f>'FY 2016 by Agency'!AX212*Inflator!$E$13</f>
        <v>36332.357339029601</v>
      </c>
      <c r="BP208" s="204">
        <f t="shared" si="185"/>
        <v>-78.034578263635922</v>
      </c>
      <c r="BQ208" s="199">
        <f t="shared" si="186"/>
        <v>-2.1431952295622816E-3</v>
      </c>
      <c r="BR208" s="204">
        <f>'FY 2016 by Agency'!BE212*Inflator!$E$14</f>
        <v>34605.333432657921</v>
      </c>
      <c r="BS208" s="204">
        <f t="shared" si="187"/>
        <v>-1727.0239063716799</v>
      </c>
      <c r="BT208" s="199">
        <f t="shared" si="188"/>
        <v>-4.7534044935654232E-2</v>
      </c>
      <c r="BU208" s="204">
        <f>'FY 2016 by Agency'!BL212*Inflator!$E$14</f>
        <v>34605.333432657921</v>
      </c>
      <c r="BV208" s="204">
        <f t="shared" si="270"/>
        <v>-846.21779226731451</v>
      </c>
      <c r="BW208" s="206">
        <v>32542</v>
      </c>
      <c r="BX208" s="206">
        <f>'FY 2016 by Agency'!BW212*Inflator!E15</f>
        <v>34373.739665787158</v>
      </c>
      <c r="BY208" s="204">
        <f>'FY 2016 by Agency'!BZ212*Inflator!$E$15</f>
        <v>33616.380826737026</v>
      </c>
      <c r="BZ208" s="206">
        <f t="shared" ref="BZ208:BZ253" si="275">BW208-BR208</f>
        <v>-2063.3334326579206</v>
      </c>
      <c r="CA208" s="199">
        <f t="shared" ref="CA208:CA253" si="276">BZ208/BR208</f>
        <v>-5.9624723358703467E-2</v>
      </c>
      <c r="CB208" s="308">
        <f>'FY 2016 by Agency'!CF212*Inflator!$E$16</f>
        <v>23537.58850707479</v>
      </c>
      <c r="CC208" s="206">
        <f t="shared" si="262"/>
        <v>-10078.792319662236</v>
      </c>
      <c r="CD208" s="304">
        <f t="shared" si="263"/>
        <v>-0.2998178885350441</v>
      </c>
      <c r="CE208" s="206">
        <f>'FY 2016 by Agency'!CK212*Inflator!$E$17</f>
        <v>-30.629073391895723</v>
      </c>
      <c r="CF208" s="206">
        <f t="shared" si="271"/>
        <v>-23568.217580466684</v>
      </c>
      <c r="CG208" s="562">
        <f t="shared" si="272"/>
        <v>-1.0013012834081405</v>
      </c>
      <c r="CH208" s="206">
        <f>'FY 2016 by Agency'!CN212*Inflator!$E$18</f>
        <v>0</v>
      </c>
      <c r="CI208" s="753">
        <f t="shared" si="273"/>
        <v>30.629073391895723</v>
      </c>
      <c r="CJ208" s="304">
        <f t="shared" si="274"/>
        <v>-1</v>
      </c>
    </row>
    <row r="209" spans="1:88" ht="18" customHeight="1" x14ac:dyDescent="0.25">
      <c r="A209" s="313" t="s">
        <v>311</v>
      </c>
      <c r="B209" s="302">
        <f>'FY 2016 by Agency'!B213*Inflator!$E$2</f>
        <v>97927.471291866023</v>
      </c>
      <c r="C209" s="302">
        <f>'FY 2016 by Agency'!C213*Inflator!$E$3</f>
        <v>36031.392194744978</v>
      </c>
      <c r="D209" s="302">
        <f t="shared" si="166"/>
        <v>-61896.079097121044</v>
      </c>
      <c r="E209" s="303">
        <f>(C209-B209)/B209</f>
        <v>-0.63206042472641899</v>
      </c>
      <c r="F209" s="204">
        <f>'FY 2016 by Agency'!F213*Inflator!$E$4</f>
        <v>43011.069661210509</v>
      </c>
      <c r="G209" s="204">
        <f t="shared" si="167"/>
        <v>6979.6774664655313</v>
      </c>
      <c r="H209" s="199">
        <f>(F209-C209)/C209</f>
        <v>0.19371101257318296</v>
      </c>
      <c r="I209" s="204">
        <f>'FY 2016 by Agency'!I213*Inflator!$E$5</f>
        <v>31294.781703235407</v>
      </c>
      <c r="J209" s="204">
        <f t="shared" si="168"/>
        <v>-11716.287957975102</v>
      </c>
      <c r="K209" s="199">
        <f t="shared" si="169"/>
        <v>-0.27240168752514021</v>
      </c>
      <c r="L209" s="204">
        <f>'FY 2016 by Agency'!L213*Inflator!$E$6</f>
        <v>24740.338058887679</v>
      </c>
      <c r="M209" s="204">
        <f t="shared" si="170"/>
        <v>-6554.443644347728</v>
      </c>
      <c r="N209" s="199">
        <f t="shared" si="171"/>
        <v>-0.20944206310504787</v>
      </c>
      <c r="O209" s="204">
        <f>'FY 2016 by Agency'!O213*Inflator!$E$7</f>
        <v>24505.726504751845</v>
      </c>
      <c r="P209" s="204">
        <f t="shared" si="264"/>
        <v>-234.61155413583401</v>
      </c>
      <c r="Q209" s="304">
        <f>P209/L209</f>
        <v>-9.4829566830252968E-3</v>
      </c>
      <c r="R209" s="204">
        <f>'FY 2016 by Agency'!R213*Inflator!$E$8</f>
        <v>36636.6150712831</v>
      </c>
      <c r="S209" s="204">
        <f t="shared" si="247"/>
        <v>12130.888566531255</v>
      </c>
      <c r="T209" s="304">
        <f t="shared" si="248"/>
        <v>0.49502260478500748</v>
      </c>
      <c r="U209" s="204">
        <f>'FY 2016 by Agency'!U213*Inflator!$E$9</f>
        <v>29900.36041114058</v>
      </c>
      <c r="V209" s="204">
        <f t="shared" si="265"/>
        <v>-6736.2546601425202</v>
      </c>
      <c r="W209" s="304">
        <f>V209/R209</f>
        <v>-0.18386673132973474</v>
      </c>
      <c r="X209" s="204">
        <f>'FY 2016 by Agency'!X213*Inflator!$E$10</f>
        <v>24044.790409653859</v>
      </c>
      <c r="Y209" s="206">
        <f t="shared" si="266"/>
        <v>-5855.5700014867216</v>
      </c>
      <c r="Z209" s="304">
        <f>Y209/U209</f>
        <v>-0.19583610100248136</v>
      </c>
      <c r="AA209" s="204">
        <f>'FY 2016 by Agency'!AA213*Inflator!$E$11</f>
        <v>24651.6823829245</v>
      </c>
      <c r="AB209" s="206">
        <f t="shared" si="249"/>
        <v>606.89197327064176</v>
      </c>
      <c r="AC209" s="304">
        <f t="shared" si="250"/>
        <v>2.5240060858545799E-2</v>
      </c>
      <c r="AD209" s="204" t="e">
        <f>'FY 2016 by Agency'!AD213*Inflator!#REF!</f>
        <v>#REF!</v>
      </c>
      <c r="AE209" s="204">
        <f>'FY 2016 by Agency'!AE213*Inflator!$B$8</f>
        <v>0</v>
      </c>
      <c r="AF209" s="204">
        <f>'FY 2016 by Agency'!AF213*Inflator!$E$12</f>
        <v>24234.46428571429</v>
      </c>
      <c r="AG209" s="204">
        <f t="shared" si="251"/>
        <v>-417.21809721021054</v>
      </c>
      <c r="AH209" s="304">
        <f t="shared" si="252"/>
        <v>-1.6924528343720886E-2</v>
      </c>
      <c r="AI209" s="204">
        <f>'FY 2016 by Agency'!AI213*Inflator!$B$8</f>
        <v>0</v>
      </c>
      <c r="AJ209" s="204">
        <f>'FY 2016 by Agency'!AJ213*Inflator!$B$8</f>
        <v>0</v>
      </c>
      <c r="AK209" s="204">
        <f>'FY 2016 by Agency'!AK213</f>
        <v>21950</v>
      </c>
      <c r="AL209" s="204">
        <f>'FY 2016 by Agency'!AL213</f>
        <v>0</v>
      </c>
      <c r="AM209" s="204">
        <f>'FY 2016 by Agency'!AM213</f>
        <v>21950</v>
      </c>
      <c r="AN209" s="204">
        <f>'FY 2016 by Agency'!AN213</f>
        <v>21477</v>
      </c>
      <c r="AO209" s="204">
        <f>'FY 2016 by Agency'!AO213</f>
        <v>21477</v>
      </c>
      <c r="AP209" s="204">
        <f>'FY 2016 by Agency'!AP213</f>
        <v>0</v>
      </c>
      <c r="AQ209" s="204">
        <f>'FY 2016 by Agency'!AQ213</f>
        <v>0</v>
      </c>
      <c r="AR209" s="204">
        <f>'FY 2016 by Agency'!AR213</f>
        <v>0</v>
      </c>
      <c r="AS209" s="204">
        <f>'FY 2016 by Agency'!AS213</f>
        <v>21477</v>
      </c>
      <c r="AT209" s="204" t="e">
        <f t="shared" si="253"/>
        <v>#REF!</v>
      </c>
      <c r="AU209" s="304" t="e">
        <f t="shared" si="254"/>
        <v>#REF!</v>
      </c>
      <c r="AV209" s="204">
        <f t="shared" si="255"/>
        <v>-2757.4642857142899</v>
      </c>
      <c r="AW209" s="304">
        <f t="shared" si="256"/>
        <v>-0.1137827621524837</v>
      </c>
      <c r="AX209" s="410" t="s">
        <v>467</v>
      </c>
      <c r="AY209" s="200">
        <v>21477</v>
      </c>
      <c r="AZ209" s="207">
        <f t="shared" si="257"/>
        <v>0</v>
      </c>
      <c r="BA209" s="207">
        <f t="shared" si="258"/>
        <v>-2757.4642857142899</v>
      </c>
      <c r="BB209" s="207">
        <f t="shared" si="259"/>
        <v>21477</v>
      </c>
      <c r="BC209" s="304">
        <f t="shared" si="260"/>
        <v>-0.11378276215248373</v>
      </c>
      <c r="BI209" s="200">
        <v>21477</v>
      </c>
      <c r="BJ209" s="200">
        <f t="shared" si="267"/>
        <v>0</v>
      </c>
      <c r="BK209" s="200">
        <f t="shared" si="268"/>
        <v>21477</v>
      </c>
      <c r="BL209" s="307">
        <f>'FY 2016 by Agency'!BB213*Inflator!$E$13</f>
        <v>23613.558437595362</v>
      </c>
      <c r="BM209" s="204">
        <f t="shared" si="269"/>
        <v>-620.90584811892768</v>
      </c>
      <c r="BN209" s="199">
        <f t="shared" si="261"/>
        <v>-2.5620778771864115E-2</v>
      </c>
      <c r="BO209" s="204">
        <f>'FY 2016 by Agency'!AX213*Inflator!$E$13</f>
        <v>23613.558437595362</v>
      </c>
      <c r="BP209" s="204">
        <f t="shared" si="185"/>
        <v>-620.90584811892768</v>
      </c>
      <c r="BQ209" s="199">
        <f t="shared" si="186"/>
        <v>-2.5620778771864115E-2</v>
      </c>
      <c r="BR209" s="204">
        <f>'FY 2016 by Agency'!BE213*Inflator!$E$14</f>
        <v>26128.191597139448</v>
      </c>
      <c r="BS209" s="204">
        <f t="shared" si="187"/>
        <v>2514.6331595440861</v>
      </c>
      <c r="BT209" s="199">
        <f t="shared" si="188"/>
        <v>0.10649107232989144</v>
      </c>
      <c r="BU209" s="204">
        <f>'FY 2016 by Agency'!BL213*Inflator!$E$14</f>
        <v>26128.191597139448</v>
      </c>
      <c r="BV209" s="204">
        <f t="shared" si="270"/>
        <v>2514.6331595440861</v>
      </c>
      <c r="BW209" s="206">
        <v>21477</v>
      </c>
      <c r="BX209" s="206" t="e">
        <f>'FY 2016 by Agency'!BW213*Inflator!E15</f>
        <v>#REF!</v>
      </c>
      <c r="BY209" s="204">
        <f>'FY 2016 by Agency'!BZ213*Inflator!$E$15</f>
        <v>16467.537379067722</v>
      </c>
      <c r="BZ209" s="206">
        <f t="shared" si="275"/>
        <v>-4651.1915971394483</v>
      </c>
      <c r="CA209" s="199">
        <f t="shared" si="276"/>
        <v>-0.17801429463065738</v>
      </c>
      <c r="CB209" s="308">
        <f>'FY 2016 by Agency'!CF213*Inflator!$E$16</f>
        <v>22152.779670805659</v>
      </c>
      <c r="CC209" s="206">
        <f t="shared" si="262"/>
        <v>5685.2422917379372</v>
      </c>
      <c r="CD209" s="304">
        <f t="shared" si="263"/>
        <v>0.34523937373687602</v>
      </c>
      <c r="CE209" s="206">
        <f>'FY 2016 by Agency'!CK213*Inflator!$E$17</f>
        <v>21738.474355341459</v>
      </c>
      <c r="CF209" s="206">
        <f t="shared" si="271"/>
        <v>-414.30531546420025</v>
      </c>
      <c r="CG209" s="562">
        <f t="shared" si="272"/>
        <v>-1.8702181921224005E-2</v>
      </c>
      <c r="CH209" s="206">
        <f>'FY 2016 by Agency'!CN213*Inflator!$E$18</f>
        <v>21292</v>
      </c>
      <c r="CI209" s="753">
        <f t="shared" si="273"/>
        <v>-446.47435534145916</v>
      </c>
      <c r="CJ209" s="304">
        <f t="shared" si="274"/>
        <v>-2.0538440188731733E-2</v>
      </c>
    </row>
    <row r="210" spans="1:88" ht="18" customHeight="1" x14ac:dyDescent="0.25">
      <c r="A210" s="313" t="s">
        <v>312</v>
      </c>
      <c r="B210" s="302">
        <f>'FY 2016 by Agency'!B214*Inflator!$E$2</f>
        <v>0</v>
      </c>
      <c r="C210" s="302">
        <f>'FY 2016 by Agency'!C214*Inflator!$E$3</f>
        <v>13778.551391035549</v>
      </c>
      <c r="D210" s="302">
        <f t="shared" si="166"/>
        <v>13778.551391035549</v>
      </c>
      <c r="E210" s="310" t="s">
        <v>132</v>
      </c>
      <c r="F210" s="204">
        <f>'FY 2016 by Agency'!F214*Inflator!$E$4</f>
        <v>8153.7247811191473</v>
      </c>
      <c r="G210" s="204">
        <f t="shared" si="167"/>
        <v>-5624.826609916402</v>
      </c>
      <c r="H210" s="199">
        <f>(F210-C210)/C210</f>
        <v>-0.40823062238429253</v>
      </c>
      <c r="I210" s="204">
        <f>'FY 2016 by Agency'!I214*Inflator!$E$5</f>
        <v>5192.1253253997775</v>
      </c>
      <c r="J210" s="204">
        <f t="shared" si="168"/>
        <v>-2961.5994557193699</v>
      </c>
      <c r="K210" s="199">
        <f t="shared" si="169"/>
        <v>-0.36322043424586531</v>
      </c>
      <c r="L210" s="204">
        <f>'FY 2016 by Agency'!L214*Inflator!$E$6</f>
        <v>4607.5441657579058</v>
      </c>
      <c r="M210" s="204">
        <f t="shared" si="170"/>
        <v>-584.58115964187164</v>
      </c>
      <c r="N210" s="199">
        <f t="shared" si="171"/>
        <v>-0.11258995555868265</v>
      </c>
      <c r="O210" s="204">
        <f>'FY 2016 by Agency'!O214*Inflator!$E$7</f>
        <v>4133.1140443505801</v>
      </c>
      <c r="P210" s="204">
        <f t="shared" si="264"/>
        <v>-474.43012140732571</v>
      </c>
      <c r="Q210" s="304">
        <f>P210/L210</f>
        <v>-0.10296811150138711</v>
      </c>
      <c r="R210" s="204">
        <f>'FY 2016 by Agency'!R214*Inflator!$E$8</f>
        <v>4684.1446028513237</v>
      </c>
      <c r="S210" s="204">
        <f t="shared" si="247"/>
        <v>551.03055850074361</v>
      </c>
      <c r="T210" s="304">
        <f t="shared" si="248"/>
        <v>0.13332091797803872</v>
      </c>
      <c r="U210" s="204">
        <f>'FY 2016 by Agency'!U214*Inflator!$E$9</f>
        <v>4495.3875994694954</v>
      </c>
      <c r="V210" s="204">
        <f t="shared" si="265"/>
        <v>-188.75700338182833</v>
      </c>
      <c r="W210" s="304">
        <f>V210/R210</f>
        <v>-4.0297006046083314E-2</v>
      </c>
      <c r="X210" s="204">
        <f>'FY 2016 by Agency'!X214*Inflator!$E$10</f>
        <v>4744.8844077484919</v>
      </c>
      <c r="Y210" s="206">
        <f t="shared" si="266"/>
        <v>249.49680827899647</v>
      </c>
      <c r="Z210" s="304">
        <f>Y210/U210</f>
        <v>5.5500622083942172E-2</v>
      </c>
      <c r="AA210" s="204">
        <f>'FY 2016 by Agency'!AA214*Inflator!$E$11</f>
        <v>4657.8445364765857</v>
      </c>
      <c r="AB210" s="206">
        <f t="shared" si="249"/>
        <v>-87.039871271906122</v>
      </c>
      <c r="AC210" s="304">
        <f t="shared" si="250"/>
        <v>-1.8343939239018819E-2</v>
      </c>
      <c r="AD210" s="204" t="e">
        <f>'FY 2016 by Agency'!AD214*Inflator!#REF!</f>
        <v>#REF!</v>
      </c>
      <c r="AE210" s="204">
        <f>'FY 2016 by Agency'!AE214*Inflator!$B$8</f>
        <v>0</v>
      </c>
      <c r="AF210" s="204">
        <f>'FY 2016 by Agency'!AF214*Inflator!$E$12</f>
        <v>3641.3778195488726</v>
      </c>
      <c r="AG210" s="204">
        <f t="shared" si="251"/>
        <v>-1016.4667169277132</v>
      </c>
      <c r="AH210" s="304">
        <f t="shared" si="252"/>
        <v>-0.21822684483510407</v>
      </c>
      <c r="AI210" s="204">
        <f>'FY 2016 by Agency'!AI214*Inflator!$B$8</f>
        <v>0</v>
      </c>
      <c r="AJ210" s="204">
        <f>'FY 2016 by Agency'!AJ214*Inflator!$B$8</f>
        <v>0</v>
      </c>
      <c r="AK210" s="204">
        <f>'FY 2016 by Agency'!AK214</f>
        <v>3598</v>
      </c>
      <c r="AL210" s="204">
        <f>'FY 2016 by Agency'!AL214</f>
        <v>0</v>
      </c>
      <c r="AM210" s="204">
        <f>'FY 2016 by Agency'!AM214</f>
        <v>3598</v>
      </c>
      <c r="AN210" s="204">
        <f>'FY 2016 by Agency'!AN214</f>
        <v>3598</v>
      </c>
      <c r="AO210" s="204">
        <f>'FY 2016 by Agency'!AO214</f>
        <v>3598</v>
      </c>
      <c r="AP210" s="204">
        <f>'FY 2016 by Agency'!AP214</f>
        <v>0</v>
      </c>
      <c r="AQ210" s="204">
        <f>'FY 2016 by Agency'!AQ214</f>
        <v>0</v>
      </c>
      <c r="AR210" s="204">
        <f>'FY 2016 by Agency'!AR214</f>
        <v>0</v>
      </c>
      <c r="AS210" s="204">
        <f>'FY 2016 by Agency'!AS214</f>
        <v>3565.94409</v>
      </c>
      <c r="AT210" s="204" t="e">
        <f t="shared" si="253"/>
        <v>#REF!</v>
      </c>
      <c r="AU210" s="304" t="e">
        <f t="shared" si="254"/>
        <v>#REF!</v>
      </c>
      <c r="AV210" s="204">
        <f t="shared" si="255"/>
        <v>-75.433729548872634</v>
      </c>
      <c r="AW210" s="304">
        <f t="shared" si="256"/>
        <v>-2.0715710724633914E-2</v>
      </c>
      <c r="AX210" s="410" t="s">
        <v>468</v>
      </c>
      <c r="AY210" s="200">
        <v>3598</v>
      </c>
      <c r="AZ210" s="207">
        <f t="shared" si="257"/>
        <v>0</v>
      </c>
      <c r="BA210" s="207">
        <f t="shared" si="258"/>
        <v>-75.433729548872634</v>
      </c>
      <c r="BB210" s="207">
        <f t="shared" si="259"/>
        <v>3565.94409</v>
      </c>
      <c r="BC210" s="304">
        <f t="shared" si="260"/>
        <v>-2.0715710724633962E-2</v>
      </c>
      <c r="BI210" s="200">
        <v>3598</v>
      </c>
      <c r="BJ210" s="200">
        <f t="shared" si="267"/>
        <v>0</v>
      </c>
      <c r="BK210" s="200">
        <f t="shared" si="268"/>
        <v>3598</v>
      </c>
      <c r="BL210" s="307">
        <f>'FY 2016 by Agency'!BB214*Inflator!$E$13</f>
        <v>3920.6886042935612</v>
      </c>
      <c r="BM210" s="204">
        <f t="shared" si="269"/>
        <v>279.31078474468859</v>
      </c>
      <c r="BN210" s="199">
        <f t="shared" si="261"/>
        <v>7.6704697668338123E-2</v>
      </c>
      <c r="BO210" s="204">
        <f>'FY 2016 by Agency'!AX214*Inflator!$E$13</f>
        <v>3955.9334757400061</v>
      </c>
      <c r="BP210" s="204">
        <f t="shared" si="185"/>
        <v>314.55565619113349</v>
      </c>
      <c r="BQ210" s="199">
        <f t="shared" si="186"/>
        <v>8.6383690948637556E-2</v>
      </c>
      <c r="BR210" s="204">
        <f>'FY 2016 by Agency'!BE214*Inflator!$E$14</f>
        <v>3712.5071513706789</v>
      </c>
      <c r="BS210" s="204">
        <f t="shared" si="187"/>
        <v>-243.42632436932718</v>
      </c>
      <c r="BT210" s="199">
        <f t="shared" si="188"/>
        <v>-6.1534483798110703E-2</v>
      </c>
      <c r="BU210" s="204">
        <f>'FY 2016 by Agency'!BL214*Inflator!$E$14</f>
        <v>3712.5071513706789</v>
      </c>
      <c r="BV210" s="204">
        <f t="shared" si="270"/>
        <v>-208.18145292288227</v>
      </c>
      <c r="BW210" s="206">
        <v>4193</v>
      </c>
      <c r="BX210" s="206">
        <f>'FY 2016 by Agency'!BW214*Inflator!E15</f>
        <v>4429.0175901495159</v>
      </c>
      <c r="BY210" s="204">
        <f>'FY 2016 by Agency'!BZ214*Inflator!$E$15</f>
        <v>3897.7044854881265</v>
      </c>
      <c r="BZ210" s="206">
        <f t="shared" si="275"/>
        <v>480.49284862932109</v>
      </c>
      <c r="CA210" s="199">
        <f t="shared" si="276"/>
        <v>0.12942543382089389</v>
      </c>
      <c r="CB210" s="308">
        <f>'FY 2016 by Agency'!CF214*Inflator!$E$16</f>
        <v>4084.717874675137</v>
      </c>
      <c r="CC210" s="206">
        <f t="shared" si="262"/>
        <v>187.01338918701049</v>
      </c>
      <c r="CD210" s="304">
        <f t="shared" si="263"/>
        <v>4.7980392018762807E-2</v>
      </c>
      <c r="CE210" s="206">
        <f>'FY 2016 by Agency'!CK214*Inflator!$E$17</f>
        <v>4562.7109662794001</v>
      </c>
      <c r="CF210" s="206">
        <f t="shared" si="271"/>
        <v>477.9930916042631</v>
      </c>
      <c r="CG210" s="562">
        <f t="shared" si="272"/>
        <v>0.11701985455783247</v>
      </c>
      <c r="CH210" s="206">
        <f>'FY 2016 by Agency'!CN214*Inflator!$E$18</f>
        <v>4745</v>
      </c>
      <c r="CI210" s="753">
        <f t="shared" si="273"/>
        <v>182.28903372059995</v>
      </c>
      <c r="CJ210" s="304">
        <f t="shared" si="274"/>
        <v>3.9951913471574778E-2</v>
      </c>
    </row>
    <row r="211" spans="1:88" ht="18" customHeight="1" x14ac:dyDescent="0.25">
      <c r="A211" s="313" t="s">
        <v>313</v>
      </c>
      <c r="B211" s="302">
        <f>'FY 2016 by Agency'!B215*Inflator!$E$2</f>
        <v>0</v>
      </c>
      <c r="C211" s="302">
        <f>'FY 2016 by Agency'!C215*Inflator!$E$3</f>
        <v>0</v>
      </c>
      <c r="D211" s="302">
        <f t="shared" si="166"/>
        <v>0</v>
      </c>
      <c r="E211" s="310" t="s">
        <v>132</v>
      </c>
      <c r="F211" s="204">
        <f>'FY 2016 by Agency'!F215*Inflator!$E$4</f>
        <v>0</v>
      </c>
      <c r="G211" s="204">
        <f t="shared" si="167"/>
        <v>0</v>
      </c>
      <c r="H211" s="310" t="s">
        <v>132</v>
      </c>
      <c r="I211" s="204">
        <f>'FY 2016 by Agency'!I215*Inflator!$E$5</f>
        <v>0</v>
      </c>
      <c r="J211" s="204">
        <f t="shared" si="168"/>
        <v>0</v>
      </c>
      <c r="K211" s="310" t="s">
        <v>132</v>
      </c>
      <c r="L211" s="204">
        <f>'FY 2016 by Agency'!L215*Inflator!$E$6</f>
        <v>0</v>
      </c>
      <c r="M211" s="204">
        <f t="shared" si="170"/>
        <v>0</v>
      </c>
      <c r="N211" s="310" t="s">
        <v>132</v>
      </c>
      <c r="O211" s="204">
        <f>'FY 2016 by Agency'!O215*Inflator!$E$7</f>
        <v>0</v>
      </c>
      <c r="P211" s="204">
        <f t="shared" si="264"/>
        <v>0</v>
      </c>
      <c r="Q211" s="394" t="s">
        <v>132</v>
      </c>
      <c r="R211" s="204">
        <f>'FY 2016 by Agency'!R215*Inflator!$E$8</f>
        <v>0</v>
      </c>
      <c r="S211" s="204">
        <f t="shared" si="247"/>
        <v>0</v>
      </c>
      <c r="T211" s="394" t="s">
        <v>132</v>
      </c>
      <c r="U211" s="204">
        <f>'FY 2016 by Agency'!U215*Inflator!$E$9</f>
        <v>0</v>
      </c>
      <c r="V211" s="204">
        <f t="shared" si="265"/>
        <v>0</v>
      </c>
      <c r="W211" s="394" t="s">
        <v>132</v>
      </c>
      <c r="X211" s="204">
        <f>'FY 2016 by Agency'!X215*Inflator!$E$10</f>
        <v>0</v>
      </c>
      <c r="Y211" s="206">
        <f t="shared" si="266"/>
        <v>0</v>
      </c>
      <c r="Z211" s="311" t="s">
        <v>405</v>
      </c>
      <c r="AA211" s="204">
        <f>'FY 2016 by Agency'!AA215*Inflator!$E$11</f>
        <v>30636.404268875442</v>
      </c>
      <c r="AB211" s="206">
        <f t="shared" si="249"/>
        <v>30636.404268875442</v>
      </c>
      <c r="AC211" s="304" t="e">
        <f t="shared" si="250"/>
        <v>#DIV/0!</v>
      </c>
      <c r="AD211" s="204" t="e">
        <f>'FY 2016 by Agency'!AD215*Inflator!#REF!</f>
        <v>#REF!</v>
      </c>
      <c r="AE211" s="204">
        <f>'FY 2016 by Agency'!AE215*Inflator!$B$8</f>
        <v>0</v>
      </c>
      <c r="AF211" s="204">
        <f>'FY 2016 by Agency'!AF215*Inflator!$E$12</f>
        <v>0</v>
      </c>
      <c r="AG211" s="204">
        <f t="shared" si="251"/>
        <v>-30636.404268875442</v>
      </c>
      <c r="AH211" s="304">
        <f t="shared" si="252"/>
        <v>-1</v>
      </c>
      <c r="AI211" s="204">
        <f>'FY 2016 by Agency'!AI215*Inflator!$B$8</f>
        <v>0</v>
      </c>
      <c r="AJ211" s="204">
        <f>'FY 2016 by Agency'!AJ215*Inflator!$B$8</f>
        <v>0</v>
      </c>
      <c r="AK211" s="204">
        <f>'FY 2016 by Agency'!AK215</f>
        <v>0</v>
      </c>
      <c r="AL211" s="204">
        <f>'FY 2016 by Agency'!AL215</f>
        <v>0</v>
      </c>
      <c r="AM211" s="204">
        <f>'FY 2016 by Agency'!AM215</f>
        <v>0</v>
      </c>
      <c r="AN211" s="204">
        <f>'FY 2016 by Agency'!AN215</f>
        <v>0</v>
      </c>
      <c r="AO211" s="204">
        <f>'FY 2016 by Agency'!AO215</f>
        <v>0</v>
      </c>
      <c r="AP211" s="204">
        <f>'FY 2016 by Agency'!AP215</f>
        <v>0</v>
      </c>
      <c r="AQ211" s="204">
        <f>'FY 2016 by Agency'!AQ215</f>
        <v>0</v>
      </c>
      <c r="AR211" s="204">
        <f>'FY 2016 by Agency'!AR215</f>
        <v>0</v>
      </c>
      <c r="AS211" s="204">
        <f>'FY 2016 by Agency'!AS215</f>
        <v>0</v>
      </c>
      <c r="AT211" s="204" t="e">
        <f t="shared" si="253"/>
        <v>#REF!</v>
      </c>
      <c r="AU211" s="304" t="e">
        <f t="shared" si="254"/>
        <v>#REF!</v>
      </c>
      <c r="AV211" s="204">
        <f t="shared" si="255"/>
        <v>0</v>
      </c>
      <c r="AW211" s="304" t="e">
        <f t="shared" si="256"/>
        <v>#DIV/0!</v>
      </c>
      <c r="AX211" s="410" t="s">
        <v>469</v>
      </c>
      <c r="AY211" s="200">
        <v>0</v>
      </c>
      <c r="AZ211" s="207">
        <f t="shared" si="257"/>
        <v>0</v>
      </c>
      <c r="BA211" s="207">
        <f t="shared" si="258"/>
        <v>0</v>
      </c>
      <c r="BB211" s="207">
        <f t="shared" si="259"/>
        <v>0</v>
      </c>
      <c r="BC211" s="304" t="e">
        <f t="shared" si="260"/>
        <v>#DIV/0!</v>
      </c>
      <c r="BI211" s="200">
        <v>0</v>
      </c>
      <c r="BJ211" s="200">
        <f t="shared" si="267"/>
        <v>0</v>
      </c>
      <c r="BK211" s="200">
        <f t="shared" si="268"/>
        <v>0</v>
      </c>
      <c r="BL211" s="307">
        <f>'FY 2016 by Agency'!BB215*Inflator!$E$13</f>
        <v>0</v>
      </c>
      <c r="BM211" s="204">
        <f t="shared" si="269"/>
        <v>0</v>
      </c>
      <c r="BN211" s="199" t="e">
        <f t="shared" si="261"/>
        <v>#DIV/0!</v>
      </c>
      <c r="BO211" s="204">
        <f>'FY 2016 by Agency'!AX215*Inflator!$E$13</f>
        <v>0</v>
      </c>
      <c r="BP211" s="204">
        <f t="shared" si="185"/>
        <v>0</v>
      </c>
      <c r="BQ211" s="199" t="e">
        <f t="shared" si="186"/>
        <v>#DIV/0!</v>
      </c>
      <c r="BR211" s="204">
        <f>'FY 2016 by Agency'!BE215*Inflator!$E$14</f>
        <v>0</v>
      </c>
      <c r="BS211" s="204">
        <f t="shared" si="187"/>
        <v>0</v>
      </c>
      <c r="BT211" s="199" t="e">
        <f t="shared" si="188"/>
        <v>#DIV/0!</v>
      </c>
      <c r="BU211" s="204">
        <f>'FY 2016 by Agency'!BL215*Inflator!$E$14</f>
        <v>0</v>
      </c>
      <c r="BV211" s="204">
        <f t="shared" si="270"/>
        <v>0</v>
      </c>
      <c r="BW211" s="206">
        <v>0</v>
      </c>
      <c r="BX211" s="206">
        <f>'FY 2016 by Agency'!BW215*Inflator!E15</f>
        <v>0</v>
      </c>
      <c r="BY211" s="204">
        <f>'FY 2016 by Agency'!BZ215*Inflator!$E$15</f>
        <v>0</v>
      </c>
      <c r="BZ211" s="206">
        <f t="shared" si="275"/>
        <v>0</v>
      </c>
      <c r="CA211" s="199" t="e">
        <f t="shared" si="276"/>
        <v>#DIV/0!</v>
      </c>
      <c r="CB211" s="308">
        <f>'FY 2016 by Agency'!CF215*Inflator!$E$16</f>
        <v>0</v>
      </c>
      <c r="CC211" s="206">
        <f t="shared" si="262"/>
        <v>0</v>
      </c>
      <c r="CD211" s="304" t="e">
        <f t="shared" si="263"/>
        <v>#DIV/0!</v>
      </c>
      <c r="CE211" s="206">
        <f>'FY 2016 by Agency'!CK215*Inflator!$E$17</f>
        <v>42933.793142533301</v>
      </c>
      <c r="CF211" s="206">
        <f t="shared" si="271"/>
        <v>42933.793142533301</v>
      </c>
      <c r="CG211" s="562" t="e">
        <f t="shared" si="272"/>
        <v>#DIV/0!</v>
      </c>
      <c r="CH211" s="206">
        <f>'FY 2016 by Agency'!CN215*Inflator!$E$18</f>
        <v>17815</v>
      </c>
      <c r="CI211" s="753">
        <f t="shared" si="273"/>
        <v>-25118.793142533301</v>
      </c>
      <c r="CJ211" s="304">
        <f t="shared" si="274"/>
        <v>-0.58505879178070619</v>
      </c>
    </row>
    <row r="212" spans="1:88" ht="18" customHeight="1" x14ac:dyDescent="0.25">
      <c r="A212" s="313" t="s">
        <v>314</v>
      </c>
      <c r="B212" s="302">
        <f>'FY 2016 by Agency'!B216*Inflator!$E$2</f>
        <v>0</v>
      </c>
      <c r="C212" s="302">
        <f>'FY 2016 by Agency'!C216*Inflator!$E$3</f>
        <v>0</v>
      </c>
      <c r="D212" s="302">
        <f t="shared" ref="D212:D253" si="277">C212-B212</f>
        <v>0</v>
      </c>
      <c r="E212" s="310" t="s">
        <v>132</v>
      </c>
      <c r="F212" s="204">
        <f>'FY 2016 by Agency'!F216*Inflator!$E$4</f>
        <v>0</v>
      </c>
      <c r="G212" s="204">
        <f t="shared" ref="G212:G253" si="278">F212-C212</f>
        <v>0</v>
      </c>
      <c r="H212" s="310" t="s">
        <v>132</v>
      </c>
      <c r="I212" s="204">
        <f>'FY 2016 by Agency'!I216*Inflator!$E$5</f>
        <v>0</v>
      </c>
      <c r="J212" s="204">
        <f t="shared" ref="J212:J253" si="279">I212-F212</f>
        <v>0</v>
      </c>
      <c r="K212" s="310" t="s">
        <v>132</v>
      </c>
      <c r="L212" s="204">
        <f>'FY 2016 by Agency'!L216*Inflator!$E$6</f>
        <v>0</v>
      </c>
      <c r="M212" s="204">
        <f t="shared" ref="M212:M253" si="280">L212-I212</f>
        <v>0</v>
      </c>
      <c r="N212" s="310" t="s">
        <v>132</v>
      </c>
      <c r="O212" s="204">
        <f>'FY 2016 by Agency'!O216*Inflator!$E$7</f>
        <v>0</v>
      </c>
      <c r="P212" s="204">
        <f t="shared" si="264"/>
        <v>0</v>
      </c>
      <c r="Q212" s="394" t="s">
        <v>132</v>
      </c>
      <c r="R212" s="204">
        <f>'FY 2016 by Agency'!R216*Inflator!$E$8</f>
        <v>0</v>
      </c>
      <c r="S212" s="204">
        <f t="shared" si="247"/>
        <v>0</v>
      </c>
      <c r="T212" s="394" t="s">
        <v>132</v>
      </c>
      <c r="U212" s="204">
        <f>'FY 2016 by Agency'!U216*Inflator!$E$9</f>
        <v>0</v>
      </c>
      <c r="V212" s="204">
        <f t="shared" si="265"/>
        <v>0</v>
      </c>
      <c r="W212" s="394" t="s">
        <v>132</v>
      </c>
      <c r="X212" s="204">
        <f>'FY 2016 by Agency'!X216*Inflator!$E$10</f>
        <v>0</v>
      </c>
      <c r="Y212" s="206">
        <f t="shared" si="266"/>
        <v>0</v>
      </c>
      <c r="Z212" s="311" t="s">
        <v>405</v>
      </c>
      <c r="AA212" s="204">
        <f>'FY 2016 by Agency'!AA216*Inflator!$E$11</f>
        <v>45085.134437719025</v>
      </c>
      <c r="AB212" s="206">
        <f t="shared" si="249"/>
        <v>45085.134437719025</v>
      </c>
      <c r="AC212" s="304" t="e">
        <f t="shared" si="250"/>
        <v>#DIV/0!</v>
      </c>
      <c r="AD212" s="204" t="e">
        <f>'FY 2016 by Agency'!AD216*Inflator!#REF!</f>
        <v>#REF!</v>
      </c>
      <c r="AE212" s="204">
        <f>'FY 2016 by Agency'!AE216*Inflator!$B$8</f>
        <v>0</v>
      </c>
      <c r="AF212" s="204">
        <f>'FY 2016 by Agency'!AF216*Inflator!$E$12</f>
        <v>2720.3101503759403</v>
      </c>
      <c r="AG212" s="204">
        <f t="shared" si="251"/>
        <v>-42364.824287343086</v>
      </c>
      <c r="AH212" s="304">
        <f t="shared" si="252"/>
        <v>-0.93966281382317274</v>
      </c>
      <c r="AI212" s="204">
        <f>'FY 2016 by Agency'!AI216*Inflator!$B$8</f>
        <v>0</v>
      </c>
      <c r="AJ212" s="204">
        <f>'FY 2016 by Agency'!AJ216*Inflator!$B$8</f>
        <v>0</v>
      </c>
      <c r="AK212" s="204">
        <f>'FY 2016 by Agency'!AK216</f>
        <v>0</v>
      </c>
      <c r="AL212" s="204">
        <f>'FY 2016 by Agency'!AL216</f>
        <v>3467</v>
      </c>
      <c r="AM212" s="204">
        <f>'FY 2016 by Agency'!AM216</f>
        <v>3467</v>
      </c>
      <c r="AN212" s="204">
        <f>'FY 2016 by Agency'!AN216</f>
        <v>0</v>
      </c>
      <c r="AO212" s="204">
        <f>'FY 2016 by Agency'!AO216</f>
        <v>973</v>
      </c>
      <c r="AP212" s="204">
        <f>'FY 2016 by Agency'!AP216</f>
        <v>0</v>
      </c>
      <c r="AQ212" s="204">
        <f>'FY 2016 by Agency'!AQ216</f>
        <v>0</v>
      </c>
      <c r="AR212" s="204">
        <f>'FY 2016 by Agency'!AR216</f>
        <v>0</v>
      </c>
      <c r="AS212" s="204">
        <f>'FY 2016 by Agency'!AS216</f>
        <v>0</v>
      </c>
      <c r="AT212" s="204" t="e">
        <f t="shared" si="253"/>
        <v>#REF!</v>
      </c>
      <c r="AU212" s="304" t="e">
        <f t="shared" si="254"/>
        <v>#REF!</v>
      </c>
      <c r="AV212" s="204">
        <f t="shared" si="255"/>
        <v>-2720.3101503759403</v>
      </c>
      <c r="AW212" s="304">
        <f t="shared" si="256"/>
        <v>-1</v>
      </c>
      <c r="AX212" s="410" t="s">
        <v>470</v>
      </c>
      <c r="AY212" s="200">
        <v>973</v>
      </c>
      <c r="AZ212" s="207">
        <f t="shared" si="257"/>
        <v>0</v>
      </c>
      <c r="BA212" s="207">
        <f t="shared" si="258"/>
        <v>-2720.3101503759403</v>
      </c>
      <c r="BB212" s="207">
        <f t="shared" si="259"/>
        <v>0</v>
      </c>
      <c r="BC212" s="304">
        <f t="shared" si="260"/>
        <v>-1</v>
      </c>
      <c r="BI212" s="200">
        <v>973</v>
      </c>
      <c r="BJ212" s="200">
        <f t="shared" si="267"/>
        <v>0</v>
      </c>
      <c r="BK212" s="200">
        <f t="shared" si="268"/>
        <v>973</v>
      </c>
      <c r="BL212" s="307">
        <f>'FY 2016 by Agency'!BB216*Inflator!$E$13</f>
        <v>0</v>
      </c>
      <c r="BM212" s="204">
        <f t="shared" si="269"/>
        <v>-2720.3101503759403</v>
      </c>
      <c r="BN212" s="199">
        <f t="shared" si="261"/>
        <v>-1</v>
      </c>
      <c r="BO212" s="204">
        <f>'FY 2016 by Agency'!AX216*Inflator!$E$13</f>
        <v>1069.7952395483674</v>
      </c>
      <c r="BP212" s="204">
        <f t="shared" ref="BP212:BP253" si="281">BO212-AF212</f>
        <v>-1650.514910827573</v>
      </c>
      <c r="BQ212" s="199">
        <f t="shared" ref="BQ212:BQ253" si="282">BP212/AF212</f>
        <v>-0.60673776870607043</v>
      </c>
      <c r="BR212" s="204">
        <f>'FY 2016 by Agency'!BE216*Inflator!$E$14</f>
        <v>0</v>
      </c>
      <c r="BS212" s="204">
        <f t="shared" ref="BS212:BS253" si="283">BR212-BO212</f>
        <v>-1069.7952395483674</v>
      </c>
      <c r="BT212" s="199">
        <f t="shared" ref="BT212:BT253" si="284">BS212/BO212</f>
        <v>-1</v>
      </c>
      <c r="BU212" s="204">
        <f>'FY 2016 by Agency'!BL216*Inflator!$E$14</f>
        <v>0</v>
      </c>
      <c r="BV212" s="204">
        <f t="shared" si="270"/>
        <v>0</v>
      </c>
      <c r="BW212" s="206">
        <v>27161</v>
      </c>
      <c r="BX212" s="206">
        <f>'FY 2016 by Agency'!BW216*Inflator!E15</f>
        <v>48760.388742304305</v>
      </c>
      <c r="BY212" s="204">
        <f>'FY 2016 by Agency'!BZ216*Inflator!$E$15</f>
        <v>0</v>
      </c>
      <c r="BZ212" s="206">
        <f t="shared" si="275"/>
        <v>27161</v>
      </c>
      <c r="CA212" s="199" t="e">
        <f t="shared" si="276"/>
        <v>#DIV/0!</v>
      </c>
      <c r="CB212" s="308">
        <f>'FY 2016 by Agency'!CF216*Inflator!$E$16</f>
        <v>0</v>
      </c>
      <c r="CC212" s="206">
        <f t="shared" si="262"/>
        <v>0</v>
      </c>
      <c r="CD212" s="304" t="e">
        <f t="shared" si="263"/>
        <v>#DIV/0!</v>
      </c>
      <c r="CE212" s="206">
        <f>'FY 2016 by Agency'!CK216*Inflator!$E$17</f>
        <v>12612.031453669597</v>
      </c>
      <c r="CF212" s="206">
        <f t="shared" si="271"/>
        <v>12612.031453669597</v>
      </c>
      <c r="CG212" s="562" t="e">
        <f t="shared" si="272"/>
        <v>#DIV/0!</v>
      </c>
      <c r="CH212" s="206">
        <f>'FY 2016 by Agency'!CN216*Inflator!$E$18</f>
        <v>21036</v>
      </c>
      <c r="CI212" s="753">
        <f t="shared" si="273"/>
        <v>8423.9685463304031</v>
      </c>
      <c r="CJ212" s="304">
        <f t="shared" si="274"/>
        <v>0.66793113998136799</v>
      </c>
    </row>
    <row r="213" spans="1:88" ht="18" customHeight="1" x14ac:dyDescent="0.25">
      <c r="A213" s="313" t="s">
        <v>315</v>
      </c>
      <c r="B213" s="310" t="s">
        <v>132</v>
      </c>
      <c r="C213" s="310" t="s">
        <v>132</v>
      </c>
      <c r="D213" s="310" t="s">
        <v>132</v>
      </c>
      <c r="E213" s="310" t="s">
        <v>132</v>
      </c>
      <c r="F213" s="204">
        <f>'FY 2016 by Agency'!F217*Inflator!$E$4</f>
        <v>0</v>
      </c>
      <c r="G213" s="310" t="s">
        <v>132</v>
      </c>
      <c r="H213" s="310" t="s">
        <v>132</v>
      </c>
      <c r="I213" s="204">
        <f>'FY 2016 by Agency'!I217*Inflator!$E$5</f>
        <v>0</v>
      </c>
      <c r="J213" s="204">
        <f t="shared" si="279"/>
        <v>0</v>
      </c>
      <c r="K213" s="310" t="s">
        <v>132</v>
      </c>
      <c r="L213" s="204">
        <f>'FY 2016 by Agency'!L217*Inflator!$E$6</f>
        <v>0</v>
      </c>
      <c r="M213" s="204">
        <f t="shared" si="280"/>
        <v>0</v>
      </c>
      <c r="N213" s="310" t="s">
        <v>132</v>
      </c>
      <c r="O213" s="204">
        <f>'FY 2016 by Agency'!O217*Inflator!$E$7</f>
        <v>0</v>
      </c>
      <c r="P213" s="315">
        <f t="shared" si="264"/>
        <v>0</v>
      </c>
      <c r="Q213" s="394" t="s">
        <v>132</v>
      </c>
      <c r="R213" s="204">
        <f>'FY 2016 by Agency'!R217*Inflator!$E$8</f>
        <v>0</v>
      </c>
      <c r="S213" s="204">
        <f t="shared" si="247"/>
        <v>0</v>
      </c>
      <c r="T213" s="394" t="s">
        <v>132</v>
      </c>
      <c r="U213" s="204">
        <f>'FY 2016 by Agency'!U217*Inflator!$E$9</f>
        <v>0</v>
      </c>
      <c r="V213" s="204">
        <f t="shared" si="265"/>
        <v>0</v>
      </c>
      <c r="W213" s="394" t="s">
        <v>132</v>
      </c>
      <c r="X213" s="204">
        <f>'FY 2016 by Agency'!X217*Inflator!$E$10</f>
        <v>0</v>
      </c>
      <c r="Y213" s="206">
        <f t="shared" si="266"/>
        <v>0</v>
      </c>
      <c r="Z213" s="311" t="s">
        <v>405</v>
      </c>
      <c r="AA213" s="204">
        <f>'FY 2016 by Agency'!AA217*Inflator!$E$11</f>
        <v>52799.617712647349</v>
      </c>
      <c r="AB213" s="206">
        <f t="shared" si="249"/>
        <v>52799.617712647349</v>
      </c>
      <c r="AC213" s="304" t="e">
        <f t="shared" si="250"/>
        <v>#DIV/0!</v>
      </c>
      <c r="AD213" s="204" t="e">
        <f>'FY 2016 by Agency'!AD217*Inflator!#REF!</f>
        <v>#REF!</v>
      </c>
      <c r="AE213" s="204">
        <f>'FY 2016 by Agency'!AE217*Inflator!$B$8</f>
        <v>0</v>
      </c>
      <c r="AF213" s="204">
        <f>'FY 2016 by Agency'!AF217*Inflator!$E$12</f>
        <v>0</v>
      </c>
      <c r="AG213" s="204">
        <f t="shared" si="251"/>
        <v>-52799.617712647349</v>
      </c>
      <c r="AH213" s="304">
        <f t="shared" si="252"/>
        <v>-1</v>
      </c>
      <c r="AI213" s="204">
        <f>'FY 2016 by Agency'!AI217*Inflator!$B$8</f>
        <v>0</v>
      </c>
      <c r="AJ213" s="204">
        <f>'FY 2016 by Agency'!AJ217*Inflator!$B$8</f>
        <v>0</v>
      </c>
      <c r="AK213" s="204">
        <f>'FY 2016 by Agency'!AK217</f>
        <v>0</v>
      </c>
      <c r="AL213" s="204">
        <f>'FY 2016 by Agency'!AL217</f>
        <v>0</v>
      </c>
      <c r="AM213" s="204">
        <f>'FY 2016 by Agency'!AM217</f>
        <v>0</v>
      </c>
      <c r="AN213" s="204">
        <f>'FY 2016 by Agency'!AN217</f>
        <v>0</v>
      </c>
      <c r="AO213" s="204">
        <f>'FY 2016 by Agency'!AO217</f>
        <v>0</v>
      </c>
      <c r="AP213" s="204">
        <f>'FY 2016 by Agency'!AP217</f>
        <v>0</v>
      </c>
      <c r="AQ213" s="204">
        <f>'FY 2016 by Agency'!AQ217</f>
        <v>0</v>
      </c>
      <c r="AR213" s="204">
        <f>'FY 2016 by Agency'!AR217</f>
        <v>0</v>
      </c>
      <c r="AS213" s="204">
        <f>'FY 2016 by Agency'!AS217</f>
        <v>0</v>
      </c>
      <c r="AT213" s="204" t="e">
        <f t="shared" si="253"/>
        <v>#REF!</v>
      </c>
      <c r="AU213" s="304" t="e">
        <f t="shared" si="254"/>
        <v>#REF!</v>
      </c>
      <c r="AV213" s="204">
        <f t="shared" si="255"/>
        <v>0</v>
      </c>
      <c r="AW213" s="304" t="e">
        <f t="shared" si="256"/>
        <v>#DIV/0!</v>
      </c>
      <c r="AX213" s="410" t="s">
        <v>471</v>
      </c>
      <c r="AY213" s="200">
        <v>0</v>
      </c>
      <c r="AZ213" s="207">
        <f t="shared" si="257"/>
        <v>0</v>
      </c>
      <c r="BA213" s="207">
        <f t="shared" si="258"/>
        <v>0</v>
      </c>
      <c r="BB213" s="207">
        <f t="shared" si="259"/>
        <v>0</v>
      </c>
      <c r="BC213" s="304" t="e">
        <f t="shared" si="260"/>
        <v>#DIV/0!</v>
      </c>
      <c r="BI213" s="200">
        <v>40000</v>
      </c>
      <c r="BJ213" s="200">
        <f t="shared" si="267"/>
        <v>40000</v>
      </c>
      <c r="BK213" s="200">
        <f t="shared" si="268"/>
        <v>40000</v>
      </c>
      <c r="BL213" s="307">
        <f>'FY 2016 by Agency'!BB217*Inflator!$E$13</f>
        <v>0</v>
      </c>
      <c r="BM213" s="204">
        <f t="shared" si="269"/>
        <v>0</v>
      </c>
      <c r="BN213" s="199" t="e">
        <f t="shared" si="261"/>
        <v>#DIV/0!</v>
      </c>
      <c r="BO213" s="204">
        <f>'FY 2016 by Agency'!AX217*Inflator!$E$13</f>
        <v>43979.249313396394</v>
      </c>
      <c r="BP213" s="204">
        <f t="shared" si="281"/>
        <v>43979.249313396394</v>
      </c>
      <c r="BQ213" s="199" t="e">
        <f t="shared" si="282"/>
        <v>#DIV/0!</v>
      </c>
      <c r="BR213" s="204">
        <f>'FY 2016 by Agency'!BE217*Inflator!$E$14</f>
        <v>0</v>
      </c>
      <c r="BS213" s="204">
        <f t="shared" si="283"/>
        <v>-43979.249313396394</v>
      </c>
      <c r="BT213" s="199">
        <f t="shared" si="284"/>
        <v>-1</v>
      </c>
      <c r="BU213" s="204">
        <f>'FY 2016 by Agency'!BL217*Inflator!$E$14</f>
        <v>0</v>
      </c>
      <c r="BV213" s="204">
        <f t="shared" si="270"/>
        <v>0</v>
      </c>
      <c r="BW213" s="206">
        <v>0</v>
      </c>
      <c r="BX213" s="206">
        <f>'FY 2016 by Agency'!BW217*Inflator!E15</f>
        <v>0</v>
      </c>
      <c r="BY213" s="204">
        <f>'FY 2016 by Agency'!BZ217*Inflator!$E$15</f>
        <v>0</v>
      </c>
      <c r="BZ213" s="206">
        <f t="shared" si="275"/>
        <v>0</v>
      </c>
      <c r="CA213" s="199" t="e">
        <f t="shared" si="276"/>
        <v>#DIV/0!</v>
      </c>
      <c r="CB213" s="308">
        <f>'FY 2016 by Agency'!CF217*Inflator!$E$16</f>
        <v>0</v>
      </c>
      <c r="CC213" s="206">
        <f t="shared" si="262"/>
        <v>0</v>
      </c>
      <c r="CD213" s="304" t="e">
        <f t="shared" si="263"/>
        <v>#DIV/0!</v>
      </c>
      <c r="CE213" s="206">
        <f>'FY 2016 by Agency'!CK217*Inflator!$E$17</f>
        <v>0</v>
      </c>
      <c r="CF213" s="206">
        <f t="shared" si="271"/>
        <v>0</v>
      </c>
      <c r="CG213" s="562" t="e">
        <f t="shared" si="272"/>
        <v>#DIV/0!</v>
      </c>
      <c r="CH213" s="206">
        <f>'FY 2016 by Agency'!CN217*Inflator!$E$18</f>
        <v>0</v>
      </c>
      <c r="CI213" s="753">
        <f t="shared" si="273"/>
        <v>0</v>
      </c>
      <c r="CJ213" s="304" t="e">
        <f t="shared" si="274"/>
        <v>#DIV/0!</v>
      </c>
    </row>
    <row r="214" spans="1:88" ht="18" customHeight="1" x14ac:dyDescent="0.25">
      <c r="A214" s="312" t="s">
        <v>316</v>
      </c>
      <c r="B214" s="310" t="s">
        <v>132</v>
      </c>
      <c r="C214" s="310" t="s">
        <v>132</v>
      </c>
      <c r="D214" s="310" t="s">
        <v>132</v>
      </c>
      <c r="E214" s="310" t="s">
        <v>132</v>
      </c>
      <c r="F214" s="310" t="s">
        <v>132</v>
      </c>
      <c r="G214" s="310" t="s">
        <v>132</v>
      </c>
      <c r="H214" s="310" t="s">
        <v>132</v>
      </c>
      <c r="I214" s="310" t="s">
        <v>132</v>
      </c>
      <c r="J214" s="310" t="s">
        <v>132</v>
      </c>
      <c r="K214" s="310" t="s">
        <v>132</v>
      </c>
      <c r="L214" s="204">
        <f>'FY 2016 by Agency'!L218*Inflator!$E$6</f>
        <v>0</v>
      </c>
      <c r="M214" s="310" t="s">
        <v>132</v>
      </c>
      <c r="N214" s="310" t="s">
        <v>132</v>
      </c>
      <c r="O214" s="204">
        <f>'FY 2016 by Agency'!O218*Inflator!$E$7</f>
        <v>27974.29567053854</v>
      </c>
      <c r="P214" s="315">
        <f t="shared" si="264"/>
        <v>27974.29567053854</v>
      </c>
      <c r="Q214" s="394" t="s">
        <v>132</v>
      </c>
      <c r="R214" s="204">
        <f>'FY 2016 by Agency'!R218*Inflator!$E$8</f>
        <v>30054.352342158862</v>
      </c>
      <c r="S214" s="204">
        <f t="shared" si="247"/>
        <v>2080.0566716203211</v>
      </c>
      <c r="T214" s="304">
        <f t="shared" si="248"/>
        <v>7.4355997953183761E-2</v>
      </c>
      <c r="U214" s="204">
        <f>'FY 2016 by Agency'!U218*Inflator!$E$9</f>
        <v>26154.004973474799</v>
      </c>
      <c r="V214" s="204">
        <f t="shared" si="265"/>
        <v>-3900.3473686840625</v>
      </c>
      <c r="W214" s="304">
        <f>V214/R214</f>
        <v>-0.12977645714270925</v>
      </c>
      <c r="X214" s="204">
        <f>'FY 2016 by Agency'!X218*Inflator!$E$10</f>
        <v>34206.188631311532</v>
      </c>
      <c r="Y214" s="206">
        <f t="shared" si="266"/>
        <v>8052.1836578367329</v>
      </c>
      <c r="Z214" s="304">
        <f>Y214/U214</f>
        <v>0.30787574086657854</v>
      </c>
      <c r="AA214" s="204">
        <f>'FY 2016 by Agency'!AA218*Inflator!$E$11</f>
        <v>49394.042370181596</v>
      </c>
      <c r="AB214" s="206">
        <f t="shared" si="249"/>
        <v>15187.853738870064</v>
      </c>
      <c r="AC214" s="304">
        <f t="shared" si="250"/>
        <v>0.44400894535696572</v>
      </c>
      <c r="AD214" s="204" t="e">
        <f>'FY 2016 by Agency'!AD218*Inflator!#REF!</f>
        <v>#REF!</v>
      </c>
      <c r="AE214" s="204">
        <f>'FY 2016 by Agency'!AE218*Inflator!$B$8</f>
        <v>0</v>
      </c>
      <c r="AF214" s="204">
        <f>'FY 2016 by Agency'!AF218*Inflator!$E$12</f>
        <v>49510.77349624061</v>
      </c>
      <c r="AG214" s="204">
        <f t="shared" si="251"/>
        <v>116.73112605901406</v>
      </c>
      <c r="AH214" s="304">
        <f t="shared" si="252"/>
        <v>2.3632632693671332E-3</v>
      </c>
      <c r="AI214" s="204">
        <f>'FY 2016 by Agency'!AI218*Inflator!$B$8</f>
        <v>0</v>
      </c>
      <c r="AJ214" s="204">
        <f>'FY 2016 by Agency'!AJ218*Inflator!$B$8</f>
        <v>0</v>
      </c>
      <c r="AK214" s="204">
        <f>'FY 2016 by Agency'!AK218</f>
        <v>44605</v>
      </c>
      <c r="AL214" s="204">
        <f>'FY 2016 by Agency'!AL218</f>
        <v>0</v>
      </c>
      <c r="AM214" s="204">
        <f>'FY 2016 by Agency'!AM218</f>
        <v>44605</v>
      </c>
      <c r="AN214" s="204">
        <f>'FY 2016 by Agency'!AN218</f>
        <v>49804</v>
      </c>
      <c r="AO214" s="204">
        <f>'FY 2016 by Agency'!AO218</f>
        <v>49804</v>
      </c>
      <c r="AP214" s="204">
        <f>'FY 2016 by Agency'!AP218</f>
        <v>0</v>
      </c>
      <c r="AQ214" s="204">
        <f>'FY 2016 by Agency'!AQ218</f>
        <v>0</v>
      </c>
      <c r="AR214" s="204">
        <f>'FY 2016 by Agency'!AR218</f>
        <v>0</v>
      </c>
      <c r="AS214" s="204">
        <f>'FY 2016 by Agency'!AS218</f>
        <v>48246.766940000001</v>
      </c>
      <c r="AT214" s="204" t="e">
        <f t="shared" si="253"/>
        <v>#REF!</v>
      </c>
      <c r="AU214" s="304" t="e">
        <f t="shared" si="254"/>
        <v>#REF!</v>
      </c>
      <c r="AV214" s="204">
        <f t="shared" si="255"/>
        <v>-1264.0065562406089</v>
      </c>
      <c r="AW214" s="304">
        <f t="shared" si="256"/>
        <v>-2.5529929487702021E-2</v>
      </c>
      <c r="AX214" s="410" t="s">
        <v>472</v>
      </c>
      <c r="AY214" s="200">
        <v>49804</v>
      </c>
      <c r="AZ214" s="207">
        <f t="shared" si="257"/>
        <v>0</v>
      </c>
      <c r="BA214" s="207">
        <f t="shared" si="258"/>
        <v>-1264.0065562406089</v>
      </c>
      <c r="BB214" s="207">
        <f t="shared" si="259"/>
        <v>48246.766940000001</v>
      </c>
      <c r="BC214" s="304">
        <f t="shared" si="260"/>
        <v>-2.5529929487702052E-2</v>
      </c>
      <c r="BI214" s="200">
        <v>49804</v>
      </c>
      <c r="BJ214" s="200">
        <f t="shared" si="267"/>
        <v>0</v>
      </c>
      <c r="BK214" s="200">
        <f t="shared" si="268"/>
        <v>49804</v>
      </c>
      <c r="BL214" s="307">
        <f>'FY 2016 by Agency'!BB218*Inflator!$E$13</f>
        <v>53046.414795489778</v>
      </c>
      <c r="BM214" s="204">
        <f t="shared" si="269"/>
        <v>3535.6412992491678</v>
      </c>
      <c r="BN214" s="199">
        <f t="shared" si="261"/>
        <v>7.1411554487583018E-2</v>
      </c>
      <c r="BO214" s="204">
        <f>'FY 2016 by Agency'!AX218*Inflator!$E$13</f>
        <v>54758.563320109854</v>
      </c>
      <c r="BP214" s="204">
        <f t="shared" si="281"/>
        <v>5247.7898238692433</v>
      </c>
      <c r="BQ214" s="199">
        <f t="shared" si="282"/>
        <v>0.10599288706866419</v>
      </c>
      <c r="BR214" s="204">
        <f>'FY 2016 by Agency'!BE218*Inflator!$E$14</f>
        <v>53455.593861740163</v>
      </c>
      <c r="BS214" s="204">
        <f t="shared" si="283"/>
        <v>-1302.969458369691</v>
      </c>
      <c r="BT214" s="199">
        <f t="shared" si="284"/>
        <v>-2.3794807229560403E-2</v>
      </c>
      <c r="BU214" s="204">
        <f>'FY 2016 by Agency'!BL218*Inflator!$E$14</f>
        <v>53455.593861740163</v>
      </c>
      <c r="BV214" s="204">
        <f t="shared" si="270"/>
        <v>409.17906625038449</v>
      </c>
      <c r="BW214" s="206">
        <v>50036</v>
      </c>
      <c r="BX214" s="206">
        <f>'FY 2016 by Agency'!BW218*Inflator!E15</f>
        <v>52852.45030782761</v>
      </c>
      <c r="BY214" s="204">
        <f>'FY 2016 by Agency'!BZ218*Inflator!$E$15</f>
        <v>52764.778364116093</v>
      </c>
      <c r="BZ214" s="206">
        <f t="shared" si="275"/>
        <v>-3419.5938617401625</v>
      </c>
      <c r="CA214" s="199">
        <f t="shared" si="276"/>
        <v>-6.3970739350211817E-2</v>
      </c>
      <c r="CB214" s="308">
        <f>'FY 2016 by Agency'!CF218*Inflator!$E$16</f>
        <v>47461.17557031475</v>
      </c>
      <c r="CC214" s="206">
        <f t="shared" si="262"/>
        <v>-5303.6027938013431</v>
      </c>
      <c r="CD214" s="304">
        <f t="shared" si="263"/>
        <v>-0.10051407317969861</v>
      </c>
      <c r="CE214" s="206">
        <f>'FY 2016 by Agency'!CK218*Inflator!$E$17</f>
        <v>52628.915840181362</v>
      </c>
      <c r="CF214" s="206">
        <f t="shared" si="271"/>
        <v>5167.7402698666119</v>
      </c>
      <c r="CG214" s="562">
        <f t="shared" si="272"/>
        <v>0.10888352864775745</v>
      </c>
      <c r="CH214" s="206">
        <f>'FY 2016 by Agency'!CN218*Inflator!$E$18</f>
        <v>48413</v>
      </c>
      <c r="CI214" s="753">
        <f t="shared" si="273"/>
        <v>-4215.915840181362</v>
      </c>
      <c r="CJ214" s="304">
        <f t="shared" si="274"/>
        <v>-8.0106454272853858E-2</v>
      </c>
    </row>
    <row r="215" spans="1:88" ht="18" customHeight="1" x14ac:dyDescent="0.25">
      <c r="A215" s="312" t="s">
        <v>317</v>
      </c>
      <c r="B215" s="310" t="s">
        <v>132</v>
      </c>
      <c r="C215" s="310" t="s">
        <v>132</v>
      </c>
      <c r="D215" s="310" t="s">
        <v>132</v>
      </c>
      <c r="E215" s="310" t="s">
        <v>132</v>
      </c>
      <c r="F215" s="310" t="s">
        <v>132</v>
      </c>
      <c r="G215" s="310" t="s">
        <v>132</v>
      </c>
      <c r="H215" s="310" t="s">
        <v>132</v>
      </c>
      <c r="I215" s="310" t="s">
        <v>132</v>
      </c>
      <c r="J215" s="310" t="s">
        <v>132</v>
      </c>
      <c r="K215" s="310" t="s">
        <v>132</v>
      </c>
      <c r="L215" s="204">
        <f>'FY 2016 by Agency'!L219*Inflator!$E$6</f>
        <v>0</v>
      </c>
      <c r="M215" s="310" t="s">
        <v>132</v>
      </c>
      <c r="N215" s="310" t="s">
        <v>132</v>
      </c>
      <c r="O215" s="204">
        <f>'FY 2016 by Agency'!O219*Inflator!$E$7</f>
        <v>0</v>
      </c>
      <c r="P215" s="315">
        <f t="shared" si="264"/>
        <v>0</v>
      </c>
      <c r="Q215" s="394" t="s">
        <v>132</v>
      </c>
      <c r="R215" s="204">
        <f>'FY 2016 by Agency'!R219*Inflator!$E$8</f>
        <v>0</v>
      </c>
      <c r="S215" s="204">
        <v>12208</v>
      </c>
      <c r="T215" s="394" t="s">
        <v>132</v>
      </c>
      <c r="U215" s="204">
        <f>'FY 2016 by Agency'!U219*Inflator!$E$9</f>
        <v>0</v>
      </c>
      <c r="V215" s="204">
        <f t="shared" si="265"/>
        <v>0</v>
      </c>
      <c r="W215" s="394" t="s">
        <v>132</v>
      </c>
      <c r="X215" s="204">
        <f>'FY 2016 by Agency'!X219*Inflator!$E$10</f>
        <v>5395.9187043505881</v>
      </c>
      <c r="Y215" s="206">
        <f t="shared" si="266"/>
        <v>5395.9187043505881</v>
      </c>
      <c r="Z215" s="311" t="s">
        <v>405</v>
      </c>
      <c r="AA215" s="204">
        <f>'FY 2016 by Agency'!AA219*Inflator!$E$11</f>
        <v>9886.1545078050349</v>
      </c>
      <c r="AB215" s="206">
        <f t="shared" si="249"/>
        <v>4490.2358034544468</v>
      </c>
      <c r="AC215" s="304">
        <f t="shared" si="250"/>
        <v>0.83215408709439731</v>
      </c>
      <c r="AD215" s="204" t="e">
        <f>'FY 2016 by Agency'!AD219*Inflator!#REF!</f>
        <v>#REF!</v>
      </c>
      <c r="AE215" s="204">
        <f>'FY 2016 by Agency'!AE219*Inflator!$B$8</f>
        <v>0</v>
      </c>
      <c r="AF215" s="204">
        <f>'FY 2016 by Agency'!AF219*Inflator!$E$12</f>
        <v>9720.8759398496259</v>
      </c>
      <c r="AG215" s="204">
        <f t="shared" si="251"/>
        <v>-165.27856795540902</v>
      </c>
      <c r="AH215" s="304">
        <f t="shared" si="252"/>
        <v>-1.671818580469514E-2</v>
      </c>
      <c r="AI215" s="204">
        <f>'FY 2016 by Agency'!AI219*Inflator!$B$8</f>
        <v>0</v>
      </c>
      <c r="AJ215" s="204">
        <f>'FY 2016 by Agency'!AJ219*Inflator!$B$8</f>
        <v>0</v>
      </c>
      <c r="AK215" s="204">
        <f>'FY 2016 by Agency'!AK219</f>
        <v>8613</v>
      </c>
      <c r="AL215" s="204">
        <f>'FY 2016 by Agency'!AL219</f>
        <v>0</v>
      </c>
      <c r="AM215" s="204">
        <f>'FY 2016 by Agency'!AM219</f>
        <v>8613</v>
      </c>
      <c r="AN215" s="204">
        <f>'FY 2016 by Agency'!AN219</f>
        <v>8613</v>
      </c>
      <c r="AO215" s="204">
        <f>'FY 2016 by Agency'!AO219</f>
        <v>8613</v>
      </c>
      <c r="AP215" s="204">
        <f>'FY 2016 by Agency'!AP219</f>
        <v>0</v>
      </c>
      <c r="AQ215" s="204">
        <f>'FY 2016 by Agency'!AQ219</f>
        <v>0</v>
      </c>
      <c r="AR215" s="204">
        <f>'FY 2016 by Agency'!AR219</f>
        <v>0</v>
      </c>
      <c r="AS215" s="204">
        <f>'FY 2016 by Agency'!AS219</f>
        <v>8612.9629999999997</v>
      </c>
      <c r="AT215" s="204" t="e">
        <f t="shared" si="253"/>
        <v>#REF!</v>
      </c>
      <c r="AU215" s="304" t="e">
        <f t="shared" si="254"/>
        <v>#REF!</v>
      </c>
      <c r="AV215" s="204">
        <f t="shared" si="255"/>
        <v>-1107.9129398496261</v>
      </c>
      <c r="AW215" s="304">
        <f t="shared" si="256"/>
        <v>-0.11397254184757806</v>
      </c>
      <c r="AX215" s="440" t="s">
        <v>473</v>
      </c>
      <c r="AY215" s="200">
        <v>8613</v>
      </c>
      <c r="AZ215" s="207">
        <f t="shared" si="257"/>
        <v>0</v>
      </c>
      <c r="BA215" s="207">
        <f t="shared" si="258"/>
        <v>-1107.9129398496261</v>
      </c>
      <c r="BB215" s="207">
        <f t="shared" si="259"/>
        <v>8612.9629999999997</v>
      </c>
      <c r="BC215" s="304">
        <f t="shared" si="260"/>
        <v>-0.1139725418475781</v>
      </c>
      <c r="BI215" s="200">
        <v>8613</v>
      </c>
      <c r="BJ215" s="200">
        <f t="shared" si="267"/>
        <v>0</v>
      </c>
      <c r="BK215" s="200">
        <f t="shared" si="268"/>
        <v>8613</v>
      </c>
      <c r="BL215" s="307">
        <f>'FY 2016 by Agency'!BB219*Inflator!$E$13</f>
        <v>9469.7911776014644</v>
      </c>
      <c r="BM215" s="204">
        <f t="shared" si="269"/>
        <v>-251.0847622481615</v>
      </c>
      <c r="BN215" s="199">
        <f t="shared" si="261"/>
        <v>-2.5829437984993518E-2</v>
      </c>
      <c r="BO215" s="204">
        <f>'FY 2016 by Agency'!AX219*Inflator!$E$13</f>
        <v>9469.8318584070803</v>
      </c>
      <c r="BP215" s="204">
        <f t="shared" si="281"/>
        <v>-251.04408144254558</v>
      </c>
      <c r="BQ215" s="199">
        <f t="shared" si="282"/>
        <v>-2.5825253094056977E-2</v>
      </c>
      <c r="BR215" s="204">
        <f>'FY 2016 by Agency'!BE219*Inflator!$E$14</f>
        <v>9255.5014898688914</v>
      </c>
      <c r="BS215" s="204">
        <f t="shared" si="283"/>
        <v>-214.33036853818885</v>
      </c>
      <c r="BT215" s="199">
        <f t="shared" si="284"/>
        <v>-2.2632964528077833E-2</v>
      </c>
      <c r="BU215" s="204">
        <f>'FY 2016 by Agency'!BL219*Inflator!$E$14</f>
        <v>9255.5014898688914</v>
      </c>
      <c r="BV215" s="204">
        <f t="shared" si="270"/>
        <v>-214.28968773257293</v>
      </c>
      <c r="BW215" s="206">
        <v>8626</v>
      </c>
      <c r="BX215" s="206">
        <f>'FY 2016 by Agency'!BW219*Inflator!E15</f>
        <v>9111.5444151275278</v>
      </c>
      <c r="BY215" s="204">
        <f>'FY 2016 by Agency'!BZ219*Inflator!$E$15</f>
        <v>9111.5444151275278</v>
      </c>
      <c r="BZ215" s="206">
        <f t="shared" si="275"/>
        <v>-629.50148986889144</v>
      </c>
      <c r="CA215" s="199">
        <f t="shared" si="276"/>
        <v>-6.8013763550029818E-2</v>
      </c>
      <c r="CB215" s="308">
        <f>'FY 2016 by Agency'!CF219*Inflator!$E$16</f>
        <v>12342.589950909614</v>
      </c>
      <c r="CC215" s="206">
        <f t="shared" si="262"/>
        <v>3231.0455357820865</v>
      </c>
      <c r="CD215" s="304">
        <f t="shared" si="263"/>
        <v>0.35461008458870186</v>
      </c>
      <c r="CE215" s="206">
        <f>'FY 2016 by Agency'!CK219*Inflator!$E$17</f>
        <v>11651.299518277134</v>
      </c>
      <c r="CF215" s="206">
        <f t="shared" si="271"/>
        <v>-691.29043263248059</v>
      </c>
      <c r="CG215" s="562">
        <f t="shared" si="272"/>
        <v>-5.6008539162522727E-2</v>
      </c>
      <c r="CH215" s="206">
        <f>'FY 2016 by Agency'!CN219*Inflator!$E$18</f>
        <v>14276</v>
      </c>
      <c r="CI215" s="753">
        <f t="shared" si="273"/>
        <v>2624.7004817228662</v>
      </c>
      <c r="CJ215" s="304">
        <f t="shared" si="274"/>
        <v>0.2252710504614148</v>
      </c>
    </row>
    <row r="216" spans="1:88" ht="18" customHeight="1" x14ac:dyDescent="0.25">
      <c r="A216" s="313" t="s">
        <v>318</v>
      </c>
      <c r="B216" s="310" t="s">
        <v>132</v>
      </c>
      <c r="C216" s="310" t="s">
        <v>132</v>
      </c>
      <c r="D216" s="310" t="s">
        <v>132</v>
      </c>
      <c r="E216" s="310" t="s">
        <v>132</v>
      </c>
      <c r="F216" s="310" t="s">
        <v>132</v>
      </c>
      <c r="G216" s="310" t="s">
        <v>132</v>
      </c>
      <c r="H216" s="310" t="s">
        <v>132</v>
      </c>
      <c r="I216" s="310" t="s">
        <v>132</v>
      </c>
      <c r="J216" s="310" t="s">
        <v>132</v>
      </c>
      <c r="K216" s="310" t="s">
        <v>132</v>
      </c>
      <c r="L216" s="204">
        <f>'FY 2016 by Agency'!L220*Inflator!$E$6</f>
        <v>0</v>
      </c>
      <c r="M216" s="310" t="s">
        <v>132</v>
      </c>
      <c r="N216" s="310" t="s">
        <v>132</v>
      </c>
      <c r="O216" s="204">
        <f>'FY 2016 by Agency'!O220*Inflator!$E$7</f>
        <v>475.58078141499465</v>
      </c>
      <c r="P216" s="315">
        <f t="shared" si="264"/>
        <v>475.58078141499465</v>
      </c>
      <c r="Q216" s="394" t="s">
        <v>132</v>
      </c>
      <c r="R216" s="204">
        <f>'FY 2016 by Agency'!R220*Inflator!$E$8</f>
        <v>0</v>
      </c>
      <c r="S216" s="204">
        <f t="shared" ref="S216:S231" si="285">R216-O216</f>
        <v>-475.58078141499465</v>
      </c>
      <c r="T216" s="304">
        <f>S216/O216</f>
        <v>-1</v>
      </c>
      <c r="U216" s="204">
        <f>'FY 2016 by Agency'!U220*Inflator!$E$9</f>
        <v>0</v>
      </c>
      <c r="V216" s="204">
        <f t="shared" si="265"/>
        <v>0</v>
      </c>
      <c r="W216" s="394" t="s">
        <v>132</v>
      </c>
      <c r="X216" s="204">
        <f>'FY 2016 by Agency'!X220*Inflator!$E$10</f>
        <v>0</v>
      </c>
      <c r="Y216" s="206">
        <f t="shared" si="266"/>
        <v>0</v>
      </c>
      <c r="Z216" s="311" t="s">
        <v>405</v>
      </c>
      <c r="AA216" s="204">
        <f>'FY 2016 by Agency'!AA220*Inflator!$E$11</f>
        <v>0</v>
      </c>
      <c r="AB216" s="206">
        <f t="shared" si="249"/>
        <v>0</v>
      </c>
      <c r="AC216" s="304" t="e">
        <f t="shared" si="250"/>
        <v>#DIV/0!</v>
      </c>
      <c r="AD216" s="204" t="e">
        <f>'FY 2016 by Agency'!AD220*Inflator!#REF!</f>
        <v>#REF!</v>
      </c>
      <c r="AE216" s="204">
        <f>'FY 2016 by Agency'!AE220*Inflator!$B$8</f>
        <v>0</v>
      </c>
      <c r="AF216" s="204">
        <f>'FY 2016 by Agency'!AF220*Inflator!$E$12</f>
        <v>0</v>
      </c>
      <c r="AG216" s="204">
        <f t="shared" si="251"/>
        <v>0</v>
      </c>
      <c r="AH216" s="304" t="e">
        <f t="shared" si="252"/>
        <v>#DIV/0!</v>
      </c>
      <c r="AI216" s="204">
        <f>'FY 2016 by Agency'!AI220*Inflator!$B$8</f>
        <v>0</v>
      </c>
      <c r="AJ216" s="204">
        <f>'FY 2016 by Agency'!AJ220*Inflator!$B$8</f>
        <v>0</v>
      </c>
      <c r="AK216" s="204">
        <f>'FY 2016 by Agency'!AK220</f>
        <v>0</v>
      </c>
      <c r="AL216" s="204">
        <f>'FY 2016 by Agency'!AL220</f>
        <v>0</v>
      </c>
      <c r="AM216" s="204">
        <f>'FY 2016 by Agency'!AM220</f>
        <v>0</v>
      </c>
      <c r="AN216" s="204">
        <f>'FY 2016 by Agency'!AN220</f>
        <v>0</v>
      </c>
      <c r="AO216" s="204">
        <f>'FY 2016 by Agency'!AO220</f>
        <v>0</v>
      </c>
      <c r="AP216" s="204">
        <f>'FY 2016 by Agency'!AP220</f>
        <v>0</v>
      </c>
      <c r="AQ216" s="204">
        <f>'FY 2016 by Agency'!AQ220</f>
        <v>0</v>
      </c>
      <c r="AR216" s="204">
        <f>'FY 2016 by Agency'!AR220</f>
        <v>0</v>
      </c>
      <c r="AS216" s="204">
        <f>'FY 2016 by Agency'!AS220</f>
        <v>0</v>
      </c>
      <c r="AT216" s="204" t="e">
        <f t="shared" si="253"/>
        <v>#REF!</v>
      </c>
      <c r="AU216" s="304" t="e">
        <f t="shared" si="254"/>
        <v>#REF!</v>
      </c>
      <c r="AV216" s="204">
        <f t="shared" si="255"/>
        <v>0</v>
      </c>
      <c r="AW216" s="304" t="e">
        <f t="shared" si="256"/>
        <v>#DIV/0!</v>
      </c>
      <c r="AX216" s="410" t="s">
        <v>474</v>
      </c>
      <c r="AY216" s="200"/>
      <c r="AZ216" s="207"/>
      <c r="BA216" s="207"/>
      <c r="BB216" s="207"/>
      <c r="BC216" s="304"/>
      <c r="BI216" s="200"/>
      <c r="BJ216" s="200">
        <f t="shared" si="267"/>
        <v>0</v>
      </c>
      <c r="BK216" s="200">
        <f t="shared" si="268"/>
        <v>0</v>
      </c>
      <c r="BL216" s="307">
        <f>'FY 2016 by Agency'!BB220*Inflator!$E$13</f>
        <v>0</v>
      </c>
      <c r="BM216" s="204">
        <f t="shared" si="269"/>
        <v>0</v>
      </c>
      <c r="BN216" s="199" t="e">
        <f t="shared" si="261"/>
        <v>#DIV/0!</v>
      </c>
      <c r="BO216" s="204">
        <f>'FY 2016 by Agency'!AX220*Inflator!$E$13</f>
        <v>0</v>
      </c>
      <c r="BP216" s="204">
        <f t="shared" si="281"/>
        <v>0</v>
      </c>
      <c r="BQ216" s="199" t="e">
        <f t="shared" si="282"/>
        <v>#DIV/0!</v>
      </c>
      <c r="BR216" s="204">
        <f>'FY 2016 by Agency'!BE220*Inflator!$E$14</f>
        <v>0</v>
      </c>
      <c r="BS216" s="204">
        <f t="shared" si="283"/>
        <v>0</v>
      </c>
      <c r="BT216" s="199" t="e">
        <f t="shared" si="284"/>
        <v>#DIV/0!</v>
      </c>
      <c r="BU216" s="204">
        <f>'FY 2016 by Agency'!BL220*Inflator!$E$14</f>
        <v>0</v>
      </c>
      <c r="BV216" s="204">
        <f t="shared" si="270"/>
        <v>0</v>
      </c>
      <c r="BW216" s="206">
        <v>0</v>
      </c>
      <c r="BX216" s="206">
        <f>'FY 2016 by Agency'!BW220*Inflator!E15</f>
        <v>0</v>
      </c>
      <c r="BY216" s="204">
        <f>'FY 2016 by Agency'!BZ220*Inflator!$E$15</f>
        <v>0</v>
      </c>
      <c r="BZ216" s="206">
        <f t="shared" si="275"/>
        <v>0</v>
      </c>
      <c r="CA216" s="199" t="e">
        <f t="shared" si="276"/>
        <v>#DIV/0!</v>
      </c>
      <c r="CB216" s="308">
        <f>'FY 2016 by Agency'!CF220*Inflator!$E$16</f>
        <v>0</v>
      </c>
      <c r="CC216" s="206">
        <f t="shared" si="262"/>
        <v>0</v>
      </c>
      <c r="CD216" s="304" t="e">
        <f t="shared" si="263"/>
        <v>#DIV/0!</v>
      </c>
      <c r="CE216" s="206">
        <f>'FY 2016 by Agency'!CK220*Inflator!$E$17</f>
        <v>0</v>
      </c>
      <c r="CF216" s="206">
        <f t="shared" si="271"/>
        <v>0</v>
      </c>
      <c r="CG216" s="562" t="e">
        <f t="shared" si="272"/>
        <v>#DIV/0!</v>
      </c>
      <c r="CH216" s="206">
        <f>'FY 2016 by Agency'!CN220*Inflator!$E$18</f>
        <v>0</v>
      </c>
      <c r="CI216" s="753">
        <f t="shared" si="273"/>
        <v>0</v>
      </c>
      <c r="CJ216" s="304" t="e">
        <f t="shared" si="274"/>
        <v>#DIV/0!</v>
      </c>
    </row>
    <row r="217" spans="1:88" ht="18" customHeight="1" x14ac:dyDescent="0.25">
      <c r="A217" s="313" t="s">
        <v>319</v>
      </c>
      <c r="B217" s="310" t="s">
        <v>132</v>
      </c>
      <c r="C217" s="310" t="s">
        <v>132</v>
      </c>
      <c r="D217" s="310" t="s">
        <v>132</v>
      </c>
      <c r="E217" s="310" t="s">
        <v>132</v>
      </c>
      <c r="F217" s="310" t="s">
        <v>132</v>
      </c>
      <c r="G217" s="310" t="s">
        <v>132</v>
      </c>
      <c r="H217" s="310" t="s">
        <v>132</v>
      </c>
      <c r="I217" s="310" t="s">
        <v>132</v>
      </c>
      <c r="J217" s="310" t="s">
        <v>132</v>
      </c>
      <c r="K217" s="310" t="s">
        <v>132</v>
      </c>
      <c r="L217" s="204">
        <f>'FY 2016 by Agency'!L221*Inflator!$E$6</f>
        <v>0</v>
      </c>
      <c r="M217" s="310" t="s">
        <v>132</v>
      </c>
      <c r="N217" s="310" t="s">
        <v>132</v>
      </c>
      <c r="O217" s="204">
        <f>'FY 2016 by Agency'!O221*Inflator!$E$7</f>
        <v>26061.826821541708</v>
      </c>
      <c r="P217" s="315">
        <f t="shared" si="264"/>
        <v>26061.826821541708</v>
      </c>
      <c r="Q217" s="394" t="s">
        <v>132</v>
      </c>
      <c r="R217" s="204">
        <f>'FY 2016 by Agency'!R221*Inflator!$E$8</f>
        <v>324126.90733197558</v>
      </c>
      <c r="S217" s="204">
        <f t="shared" si="285"/>
        <v>298065.08051043388</v>
      </c>
      <c r="T217" s="304">
        <f>S217/O217</f>
        <v>11.436845258447681</v>
      </c>
      <c r="U217" s="204">
        <f>'FY 2016 by Agency'!U221*Inflator!$E$9</f>
        <v>141994.75563660476</v>
      </c>
      <c r="V217" s="204">
        <f t="shared" si="265"/>
        <v>-182132.15169537082</v>
      </c>
      <c r="W217" s="394">
        <f>V217/R217</f>
        <v>-0.56191617411395089</v>
      </c>
      <c r="X217" s="204">
        <f>'FY 2016 by Agency'!X221*Inflator!$E$10</f>
        <v>161027.44077484918</v>
      </c>
      <c r="Y217" s="206">
        <f t="shared" si="266"/>
        <v>19032.685138244415</v>
      </c>
      <c r="Z217" s="304">
        <f>Y217/U217</f>
        <v>0.13403794423896306</v>
      </c>
      <c r="AA217" s="204">
        <f>'FY 2016 by Agency'!AA221*Inflator!$E$11</f>
        <v>143493.29149410644</v>
      </c>
      <c r="AB217" s="206">
        <f t="shared" si="249"/>
        <v>-17534.149280742742</v>
      </c>
      <c r="AC217" s="304">
        <f t="shared" si="250"/>
        <v>-0.10888920047645317</v>
      </c>
      <c r="AD217" s="204" t="e">
        <f>'FY 2016 by Agency'!AD221*Inflator!#REF!</f>
        <v>#REF!</v>
      </c>
      <c r="AE217" s="204">
        <f>'FY 2016 by Agency'!AE221*Inflator!$B$8</f>
        <v>0</v>
      </c>
      <c r="AF217" s="204">
        <f>'FY 2016 by Agency'!AF221*Inflator!$E$12</f>
        <v>16855.764097744363</v>
      </c>
      <c r="AG217" s="204">
        <f t="shared" si="251"/>
        <v>-126637.52739636207</v>
      </c>
      <c r="AH217" s="304">
        <f t="shared" si="252"/>
        <v>-0.88253273778700192</v>
      </c>
      <c r="AI217" s="204">
        <f>'FY 2016 by Agency'!AI221*Inflator!$B$8</f>
        <v>0</v>
      </c>
      <c r="AJ217" s="204">
        <f>'FY 2016 by Agency'!AJ221*Inflator!$B$8</f>
        <v>0</v>
      </c>
      <c r="AK217" s="204">
        <f>'FY 2016 by Agency'!AK221</f>
        <v>0</v>
      </c>
      <c r="AL217" s="204">
        <f>'FY 2016 by Agency'!AL221</f>
        <v>0</v>
      </c>
      <c r="AM217" s="204">
        <f>'FY 2016 by Agency'!AM221</f>
        <v>0</v>
      </c>
      <c r="AN217" s="204">
        <f>'FY 2016 by Agency'!AN221</f>
        <v>0</v>
      </c>
      <c r="AO217" s="204">
        <f>'FY 2016 by Agency'!AO221</f>
        <v>7900</v>
      </c>
      <c r="AP217" s="204">
        <f>'FY 2016 by Agency'!AP221</f>
        <v>0</v>
      </c>
      <c r="AQ217" s="204">
        <f>'FY 2016 by Agency'!AQ221</f>
        <v>0</v>
      </c>
      <c r="AR217" s="204">
        <f>'FY 2016 by Agency'!AR221</f>
        <v>0</v>
      </c>
      <c r="AS217" s="204">
        <f>'FY 2016 by Agency'!AS221</f>
        <v>18696.287</v>
      </c>
      <c r="AT217" s="204" t="e">
        <f t="shared" si="253"/>
        <v>#REF!</v>
      </c>
      <c r="AU217" s="304" t="e">
        <f t="shared" si="254"/>
        <v>#REF!</v>
      </c>
      <c r="AV217" s="204">
        <f t="shared" si="255"/>
        <v>1840.5229022556377</v>
      </c>
      <c r="AW217" s="304">
        <f t="shared" si="256"/>
        <v>0.10919249294085318</v>
      </c>
      <c r="AY217" s="200">
        <v>7900</v>
      </c>
      <c r="AZ217" s="207">
        <f t="shared" si="257"/>
        <v>0</v>
      </c>
      <c r="BA217" s="207">
        <f t="shared" si="258"/>
        <v>1840.5229022556377</v>
      </c>
      <c r="BB217" s="207">
        <f t="shared" si="259"/>
        <v>18696.287</v>
      </c>
      <c r="BC217" s="304">
        <f t="shared" si="260"/>
        <v>0.1091924929408532</v>
      </c>
      <c r="BI217" s="200">
        <v>12071</v>
      </c>
      <c r="BJ217" s="200">
        <f t="shared" si="267"/>
        <v>4171</v>
      </c>
      <c r="BK217" s="200">
        <f t="shared" si="268"/>
        <v>12071</v>
      </c>
      <c r="BL217" s="307">
        <f>'FY 2016 by Agency'!BB221*Inflator!$E$13</f>
        <v>20556.216680195299</v>
      </c>
      <c r="BM217" s="204">
        <f t="shared" si="269"/>
        <v>3700.4525824509365</v>
      </c>
      <c r="BN217" s="199">
        <f t="shared" si="261"/>
        <v>0.21953632958983632</v>
      </c>
      <c r="BO217" s="204">
        <f>'FY 2016 by Agency'!AX221*Inflator!$E$13</f>
        <v>13271.837961550198</v>
      </c>
      <c r="BP217" s="204">
        <f t="shared" si="281"/>
        <v>-3583.9261361941644</v>
      </c>
      <c r="BQ217" s="199">
        <f t="shared" si="282"/>
        <v>-0.21262317836269229</v>
      </c>
      <c r="BR217" s="204">
        <f>'FY 2016 by Agency'!BE221*Inflator!$E$14</f>
        <v>86830.5822407628</v>
      </c>
      <c r="BS217" s="204">
        <f t="shared" si="283"/>
        <v>73558.744279212609</v>
      </c>
      <c r="BT217" s="199">
        <f t="shared" si="284"/>
        <v>5.5424685331692132</v>
      </c>
      <c r="BU217" s="204">
        <f>'FY 2016 by Agency'!BL221*Inflator!$E$14</f>
        <v>86830.5822407628</v>
      </c>
      <c r="BV217" s="204">
        <f t="shared" si="270"/>
        <v>66274.365560567501</v>
      </c>
      <c r="BW217" s="206">
        <v>31533</v>
      </c>
      <c r="BX217" s="206">
        <f>'FY 2016 by Agency'!BW221*Inflator!E15</f>
        <v>33307.944591029023</v>
      </c>
      <c r="BY217" s="204">
        <f>'FY 2016 by Agency'!BZ221*Inflator!$E$15</f>
        <v>93165.70008795074</v>
      </c>
      <c r="BZ217" s="206">
        <f t="shared" si="275"/>
        <v>-55297.5822407628</v>
      </c>
      <c r="CA217" s="199">
        <f t="shared" si="276"/>
        <v>-0.63684454041128413</v>
      </c>
      <c r="CB217" s="308">
        <f>'FY 2016 by Agency'!CF221*Inflator!$E$16</f>
        <v>62215.47617672538</v>
      </c>
      <c r="CC217" s="206">
        <f t="shared" si="262"/>
        <v>-30950.223911225359</v>
      </c>
      <c r="CD217" s="304">
        <f t="shared" si="263"/>
        <v>-0.33220620767093018</v>
      </c>
      <c r="CE217" s="206">
        <f>'FY 2016 by Agency'!CK221*Inflator!$E$17</f>
        <v>29543.783224709554</v>
      </c>
      <c r="CF217" s="206">
        <f t="shared" si="271"/>
        <v>-32671.692952015826</v>
      </c>
      <c r="CG217" s="562">
        <f t="shared" si="272"/>
        <v>-0.5251377142756356</v>
      </c>
      <c r="CH217" s="206">
        <f>'FY 2016 by Agency'!CN221*Inflator!$E$18</f>
        <v>72291</v>
      </c>
      <c r="CI217" s="753">
        <f t="shared" si="273"/>
        <v>42747.21677529045</v>
      </c>
      <c r="CJ217" s="304">
        <f t="shared" si="274"/>
        <v>1.4469107239975256</v>
      </c>
    </row>
    <row r="218" spans="1:88" ht="18" customHeight="1" x14ac:dyDescent="0.25">
      <c r="A218" s="313" t="s">
        <v>320</v>
      </c>
      <c r="B218" s="302">
        <f>'FY 2016 by Agency'!B222*Inflator!$E$2</f>
        <v>0</v>
      </c>
      <c r="C218" s="302">
        <f>'FY 2016 by Agency'!C222*Inflator!$E$3</f>
        <v>0</v>
      </c>
      <c r="D218" s="302">
        <f t="shared" si="277"/>
        <v>0</v>
      </c>
      <c r="E218" s="310" t="s">
        <v>132</v>
      </c>
      <c r="F218" s="204">
        <f>'FY 2016 by Agency'!F222*Inflator!$E$4</f>
        <v>0</v>
      </c>
      <c r="G218" s="204">
        <f t="shared" si="278"/>
        <v>0</v>
      </c>
      <c r="H218" s="310" t="s">
        <v>132</v>
      </c>
      <c r="I218" s="204">
        <f>'FY 2016 by Agency'!I222*Inflator!$E$5</f>
        <v>0</v>
      </c>
      <c r="J218" s="204">
        <f t="shared" si="279"/>
        <v>0</v>
      </c>
      <c r="K218" s="310" t="s">
        <v>132</v>
      </c>
      <c r="L218" s="204">
        <f>'FY 2016 by Agency'!L222*Inflator!$E$6</f>
        <v>0</v>
      </c>
      <c r="M218" s="204">
        <f t="shared" si="280"/>
        <v>0</v>
      </c>
      <c r="N218" s="310" t="s">
        <v>132</v>
      </c>
      <c r="O218" s="204">
        <f>'FY 2016 by Agency'!O222*Inflator!$E$7</f>
        <v>0</v>
      </c>
      <c r="P218" s="315">
        <f t="shared" si="264"/>
        <v>0</v>
      </c>
      <c r="Q218" s="394" t="s">
        <v>132</v>
      </c>
      <c r="R218" s="204">
        <f>'FY 2016 by Agency'!R222*Inflator!$E$8</f>
        <v>0</v>
      </c>
      <c r="S218" s="204">
        <f t="shared" si="285"/>
        <v>0</v>
      </c>
      <c r="T218" s="394" t="s">
        <v>132</v>
      </c>
      <c r="U218" s="204">
        <f>'FY 2016 by Agency'!U222*Inflator!$E$9</f>
        <v>0</v>
      </c>
      <c r="V218" s="204">
        <f t="shared" si="265"/>
        <v>0</v>
      </c>
      <c r="W218" s="394" t="s">
        <v>132</v>
      </c>
      <c r="X218" s="204">
        <f>'FY 2016 by Agency'!X222*Inflator!$E$10</f>
        <v>0</v>
      </c>
      <c r="Y218" s="206">
        <f t="shared" si="266"/>
        <v>0</v>
      </c>
      <c r="Z218" s="311" t="s">
        <v>405</v>
      </c>
      <c r="AA218" s="204">
        <f>'FY 2016 by Agency'!AA222*Inflator!$E$11</f>
        <v>0</v>
      </c>
      <c r="AB218" s="206">
        <f t="shared" si="249"/>
        <v>0</v>
      </c>
      <c r="AC218" s="304" t="e">
        <f t="shared" si="250"/>
        <v>#DIV/0!</v>
      </c>
      <c r="AD218" s="204" t="e">
        <f>'FY 2016 by Agency'!AD222*Inflator!#REF!</f>
        <v>#REF!</v>
      </c>
      <c r="AE218" s="204">
        <f>'FY 2016 by Agency'!AE222*Inflator!$B$8</f>
        <v>0</v>
      </c>
      <c r="AF218" s="204">
        <f>'FY 2016 by Agency'!AF222*Inflator!$E$12</f>
        <v>0</v>
      </c>
      <c r="AG218" s="204">
        <f t="shared" si="251"/>
        <v>0</v>
      </c>
      <c r="AH218" s="304" t="e">
        <f t="shared" si="252"/>
        <v>#DIV/0!</v>
      </c>
      <c r="AI218" s="204">
        <f>'FY 2016 by Agency'!AI222*Inflator!$B$8</f>
        <v>0</v>
      </c>
      <c r="AJ218" s="204">
        <f>'FY 2016 by Agency'!AJ222*Inflator!$B$8</f>
        <v>0</v>
      </c>
      <c r="AK218" s="204">
        <f>'FY 2016 by Agency'!AK222</f>
        <v>0</v>
      </c>
      <c r="AL218" s="204">
        <f>'FY 2016 by Agency'!AL222</f>
        <v>0</v>
      </c>
      <c r="AM218" s="204">
        <f>'FY 2016 by Agency'!AM222</f>
        <v>0</v>
      </c>
      <c r="AN218" s="204">
        <f>'FY 2016 by Agency'!AN222</f>
        <v>0</v>
      </c>
      <c r="AO218" s="204">
        <f>'FY 2016 by Agency'!AO222</f>
        <v>0</v>
      </c>
      <c r="AP218" s="204">
        <f>'FY 2016 by Agency'!AP222</f>
        <v>0</v>
      </c>
      <c r="AQ218" s="204">
        <f>'FY 2016 by Agency'!AQ222</f>
        <v>0</v>
      </c>
      <c r="AR218" s="204">
        <f>'FY 2016 by Agency'!AR222</f>
        <v>0</v>
      </c>
      <c r="AS218" s="204">
        <f>'FY 2016 by Agency'!AS222</f>
        <v>0</v>
      </c>
      <c r="AT218" s="204" t="e">
        <f t="shared" si="253"/>
        <v>#REF!</v>
      </c>
      <c r="AU218" s="304" t="e">
        <f t="shared" si="254"/>
        <v>#REF!</v>
      </c>
      <c r="AV218" s="204">
        <f t="shared" si="255"/>
        <v>0</v>
      </c>
      <c r="AW218" s="304" t="e">
        <f t="shared" si="256"/>
        <v>#DIV/0!</v>
      </c>
      <c r="AZ218" s="207">
        <f t="shared" si="257"/>
        <v>0</v>
      </c>
      <c r="BA218" s="207">
        <f t="shared" si="258"/>
        <v>0</v>
      </c>
      <c r="BB218" s="207">
        <f t="shared" si="259"/>
        <v>0</v>
      </c>
      <c r="BC218" s="304" t="e">
        <f t="shared" si="260"/>
        <v>#DIV/0!</v>
      </c>
      <c r="BI218" s="200"/>
      <c r="BJ218" s="200">
        <f t="shared" si="267"/>
        <v>0</v>
      </c>
      <c r="BK218" s="200">
        <f t="shared" si="268"/>
        <v>0</v>
      </c>
      <c r="BL218" s="307">
        <f>'FY 2016 by Agency'!BB222*Inflator!$E$13</f>
        <v>0</v>
      </c>
      <c r="BM218" s="204">
        <f t="shared" si="269"/>
        <v>0</v>
      </c>
      <c r="BN218" s="199" t="e">
        <f t="shared" si="261"/>
        <v>#DIV/0!</v>
      </c>
      <c r="BO218" s="204">
        <f>'FY 2016 by Agency'!AX222*Inflator!$E$13</f>
        <v>0</v>
      </c>
      <c r="BP218" s="204">
        <f t="shared" si="281"/>
        <v>0</v>
      </c>
      <c r="BQ218" s="199" t="e">
        <f t="shared" si="282"/>
        <v>#DIV/0!</v>
      </c>
      <c r="BR218" s="204">
        <f>'FY 2016 by Agency'!BE222*Inflator!$E$14</f>
        <v>0</v>
      </c>
      <c r="BS218" s="204">
        <f t="shared" si="283"/>
        <v>0</v>
      </c>
      <c r="BT218" s="199" t="e">
        <f t="shared" si="284"/>
        <v>#DIV/0!</v>
      </c>
      <c r="BU218" s="204">
        <f>'FY 2016 by Agency'!BL222*Inflator!$E$14</f>
        <v>0</v>
      </c>
      <c r="BV218" s="204">
        <f t="shared" si="270"/>
        <v>0</v>
      </c>
      <c r="BW218" s="206">
        <v>0</v>
      </c>
      <c r="BX218" s="206">
        <f>'FY 2016 by Agency'!BW222*Inflator!E15</f>
        <v>0</v>
      </c>
      <c r="BY218" s="204">
        <f>'FY 2016 by Agency'!BZ222*Inflator!$E$15</f>
        <v>0</v>
      </c>
      <c r="BZ218" s="206">
        <f t="shared" si="275"/>
        <v>0</v>
      </c>
      <c r="CA218" s="199" t="e">
        <f t="shared" si="276"/>
        <v>#DIV/0!</v>
      </c>
      <c r="CB218" s="308">
        <f>'FY 2016 by Agency'!CF222*Inflator!$E$16</f>
        <v>0</v>
      </c>
      <c r="CC218" s="206">
        <f t="shared" si="262"/>
        <v>0</v>
      </c>
      <c r="CD218" s="304" t="e">
        <f t="shared" si="263"/>
        <v>#DIV/0!</v>
      </c>
      <c r="CE218" s="206">
        <f>'FY 2016 by Agency'!CK222*Inflator!$E$17</f>
        <v>0</v>
      </c>
      <c r="CF218" s="206">
        <f t="shared" si="271"/>
        <v>0</v>
      </c>
      <c r="CG218" s="562" t="e">
        <f t="shared" si="272"/>
        <v>#DIV/0!</v>
      </c>
      <c r="CH218" s="206">
        <f>'FY 2016 by Agency'!CN222*Inflator!$E$18</f>
        <v>0</v>
      </c>
      <c r="CI218" s="753">
        <f t="shared" si="273"/>
        <v>0</v>
      </c>
      <c r="CJ218" s="304" t="e">
        <f t="shared" si="274"/>
        <v>#DIV/0!</v>
      </c>
    </row>
    <row r="219" spans="1:88" s="317" customFormat="1" ht="18" customHeight="1" x14ac:dyDescent="0.25">
      <c r="A219" s="68" t="s">
        <v>321</v>
      </c>
      <c r="B219" s="310" t="s">
        <v>132</v>
      </c>
      <c r="C219" s="310" t="s">
        <v>132</v>
      </c>
      <c r="D219" s="310" t="s">
        <v>132</v>
      </c>
      <c r="E219" s="310" t="s">
        <v>132</v>
      </c>
      <c r="F219" s="310" t="s">
        <v>132</v>
      </c>
      <c r="G219" s="310" t="s">
        <v>132</v>
      </c>
      <c r="H219" s="310" t="s">
        <v>132</v>
      </c>
      <c r="I219" s="310" t="s">
        <v>132</v>
      </c>
      <c r="J219" s="310" t="s">
        <v>132</v>
      </c>
      <c r="K219" s="310" t="s">
        <v>132</v>
      </c>
      <c r="L219" s="204">
        <f>'FY 2016 by Agency'!L223*Inflator!$E$6</f>
        <v>0</v>
      </c>
      <c r="M219" s="310" t="s">
        <v>132</v>
      </c>
      <c r="N219" s="310" t="s">
        <v>132</v>
      </c>
      <c r="O219" s="204">
        <f>'FY 2016 by Agency'!O223*Inflator!$E$7</f>
        <v>6258.6430834213297</v>
      </c>
      <c r="P219" s="315">
        <f t="shared" si="264"/>
        <v>6258.6430834213297</v>
      </c>
      <c r="Q219" s="394" t="s">
        <v>132</v>
      </c>
      <c r="R219" s="204">
        <f>'FY 2016 by Agency'!R223*Inflator!$E$8</f>
        <v>11246.839103869654</v>
      </c>
      <c r="S219" s="204">
        <f t="shared" si="285"/>
        <v>4988.1960204483239</v>
      </c>
      <c r="T219" s="304">
        <f>S219/O219</f>
        <v>0.79700918457255954</v>
      </c>
      <c r="U219" s="204">
        <f>'FY 2016 by Agency'!U223*Inflator!$E$9</f>
        <v>7652.7911140583547</v>
      </c>
      <c r="V219" s="204">
        <f t="shared" si="265"/>
        <v>-3594.047989811299</v>
      </c>
      <c r="W219" s="394">
        <f>V219/R219</f>
        <v>-0.31956071893788446</v>
      </c>
      <c r="X219" s="204">
        <f>'FY 2016 by Agency'!X223*Inflator!$E$10</f>
        <v>18553.905366783107</v>
      </c>
      <c r="Y219" s="206">
        <f t="shared" si="266"/>
        <v>10901.114252724752</v>
      </c>
      <c r="Z219" s="304">
        <f>Y219/U219</f>
        <v>1.4244625379489519</v>
      </c>
      <c r="AA219" s="204">
        <f>'FY 2016 by Agency'!AA223*Inflator!$E$11</f>
        <v>17217.266645428484</v>
      </c>
      <c r="AB219" s="206">
        <f t="shared" si="249"/>
        <v>-1336.6387213546222</v>
      </c>
      <c r="AC219" s="304">
        <f t="shared" si="250"/>
        <v>-7.2040828867629927E-2</v>
      </c>
      <c r="AD219" s="204" t="e">
        <f>'FY 2016 by Agency'!AD223*Inflator!#REF!</f>
        <v>#REF!</v>
      </c>
      <c r="AE219" s="204">
        <f>'FY 2016 by Agency'!AE223*Inflator!$B$8</f>
        <v>0</v>
      </c>
      <c r="AF219" s="204">
        <f>'FY 2016 by Agency'!AF223*Inflator!$E$12</f>
        <v>7352.7387218045124</v>
      </c>
      <c r="AG219" s="204">
        <f t="shared" si="251"/>
        <v>-9864.527923623973</v>
      </c>
      <c r="AH219" s="304">
        <f t="shared" si="252"/>
        <v>-0.57294390142021734</v>
      </c>
      <c r="AI219" s="204">
        <f>'FY 2016 by Agency'!AI223*Inflator!$B$8</f>
        <v>0</v>
      </c>
      <c r="AJ219" s="204">
        <f>'FY 2016 by Agency'!AJ223*Inflator!$B$8</f>
        <v>0</v>
      </c>
      <c r="AK219" s="204">
        <f>'FY 2016 by Agency'!AK223</f>
        <v>15000</v>
      </c>
      <c r="AL219" s="204">
        <f>'FY 2016 by Agency'!AL223</f>
        <v>0</v>
      </c>
      <c r="AM219" s="204">
        <f>'FY 2016 by Agency'!AM223</f>
        <v>15000</v>
      </c>
      <c r="AN219" s="204">
        <f>'FY 2016 by Agency'!AN223</f>
        <v>15000</v>
      </c>
      <c r="AO219" s="204">
        <f>'FY 2016 by Agency'!AO223</f>
        <v>15000</v>
      </c>
      <c r="AP219" s="204">
        <f>'FY 2016 by Agency'!AP223</f>
        <v>0</v>
      </c>
      <c r="AQ219" s="204">
        <f>'FY 2016 by Agency'!AQ223</f>
        <v>0</v>
      </c>
      <c r="AR219" s="204">
        <f>'FY 2016 by Agency'!AR223</f>
        <v>0</v>
      </c>
      <c r="AS219" s="204">
        <f>'FY 2016 by Agency'!AS223</f>
        <v>5884.4930599999998</v>
      </c>
      <c r="AT219" s="204" t="e">
        <f t="shared" si="253"/>
        <v>#REF!</v>
      </c>
      <c r="AU219" s="304" t="e">
        <f t="shared" si="254"/>
        <v>#REF!</v>
      </c>
      <c r="AV219" s="204">
        <f t="shared" si="255"/>
        <v>-1468.2456618045126</v>
      </c>
      <c r="AW219" s="304">
        <f t="shared" si="256"/>
        <v>-0.19968690815171181</v>
      </c>
      <c r="AX219" s="440" t="s">
        <v>475</v>
      </c>
      <c r="AY219" s="200">
        <v>15000</v>
      </c>
      <c r="AZ219" s="207">
        <f t="shared" si="257"/>
        <v>0</v>
      </c>
      <c r="BA219" s="207">
        <f t="shared" si="258"/>
        <v>-1468.2456618045126</v>
      </c>
      <c r="BB219" s="207">
        <f t="shared" si="259"/>
        <v>5884.4930599999998</v>
      </c>
      <c r="BC219" s="304">
        <f t="shared" si="260"/>
        <v>-0.19968690815171186</v>
      </c>
      <c r="BD219" s="207"/>
      <c r="BE219" s="207"/>
      <c r="BI219" s="318">
        <v>15000</v>
      </c>
      <c r="BJ219" s="200">
        <f t="shared" si="267"/>
        <v>0</v>
      </c>
      <c r="BK219" s="200">
        <f t="shared" si="268"/>
        <v>15000</v>
      </c>
      <c r="BL219" s="307">
        <f>'FY 2016 by Agency'!BB223*Inflator!$E$13</f>
        <v>6469.8896842172717</v>
      </c>
      <c r="BM219" s="204">
        <f t="shared" si="269"/>
        <v>-882.84903758724067</v>
      </c>
      <c r="BN219" s="199">
        <f t="shared" si="261"/>
        <v>-0.12007077512072556</v>
      </c>
      <c r="BO219" s="204">
        <f>'FY 2016 by Agency'!AX223*Inflator!$E$13</f>
        <v>16492.218492523651</v>
      </c>
      <c r="BP219" s="204">
        <f t="shared" si="281"/>
        <v>9139.4797707191392</v>
      </c>
      <c r="BQ219" s="199">
        <f t="shared" si="282"/>
        <v>1.2430034734698316</v>
      </c>
      <c r="BR219" s="204">
        <f>'FY 2016 by Agency'!BE223*Inflator!$E$14</f>
        <v>4668.0107270560184</v>
      </c>
      <c r="BS219" s="204">
        <f t="shared" si="283"/>
        <v>-11824.207765467632</v>
      </c>
      <c r="BT219" s="199">
        <f t="shared" si="284"/>
        <v>-0.7169567739372269</v>
      </c>
      <c r="BU219" s="315">
        <f>'FY 2016 by Agency'!BL223*Inflator!$E$14</f>
        <v>4668.0107270560184</v>
      </c>
      <c r="BV219" s="204">
        <f t="shared" si="270"/>
        <v>-1801.8789571612533</v>
      </c>
      <c r="BW219" s="206">
        <v>6000</v>
      </c>
      <c r="BX219" s="206">
        <f>'FY 2016 by Agency'!BW223*Inflator!E15</f>
        <v>6337.7308707124002</v>
      </c>
      <c r="BY219" s="204">
        <f>'FY 2016 by Agency'!BZ223*Inflator!$E$15</f>
        <v>4668.7950747581353</v>
      </c>
      <c r="BZ219" s="206">
        <f t="shared" si="275"/>
        <v>1331.9892729439816</v>
      </c>
      <c r="CA219" s="199">
        <f t="shared" si="276"/>
        <v>0.28534408998327848</v>
      </c>
      <c r="CB219" s="308">
        <f>'FY 2016 by Agency'!CF223*Inflator!$E$16</f>
        <v>1022.7401097314466</v>
      </c>
      <c r="CC219" s="206">
        <f t="shared" si="262"/>
        <v>-3646.0549650266885</v>
      </c>
      <c r="CD219" s="304">
        <f t="shared" si="263"/>
        <v>-0.78094131497420038</v>
      </c>
      <c r="CE219" s="206">
        <f>'FY 2016 by Agency'!CK223*Inflator!$E$17</f>
        <v>6125.8146783791453</v>
      </c>
      <c r="CF219" s="206">
        <f t="shared" si="271"/>
        <v>5103.0745686476985</v>
      </c>
      <c r="CG219" s="562">
        <f t="shared" si="272"/>
        <v>4.9896102832885623</v>
      </c>
      <c r="CH219" s="206">
        <f>'FY 2016 by Agency'!CN223*Inflator!$E$18</f>
        <v>6000</v>
      </c>
      <c r="CI219" s="753">
        <f t="shared" si="273"/>
        <v>-125.81467837914533</v>
      </c>
      <c r="CJ219" s="304">
        <f t="shared" si="274"/>
        <v>-2.0538440188731789E-2</v>
      </c>
    </row>
    <row r="220" spans="1:88" s="317" customFormat="1" ht="18" customHeight="1" x14ac:dyDescent="0.25">
      <c r="A220" s="68" t="s">
        <v>322</v>
      </c>
      <c r="B220" s="310" t="s">
        <v>132</v>
      </c>
      <c r="C220" s="310" t="s">
        <v>132</v>
      </c>
      <c r="D220" s="310" t="s">
        <v>132</v>
      </c>
      <c r="E220" s="310" t="s">
        <v>132</v>
      </c>
      <c r="F220" s="310" t="s">
        <v>132</v>
      </c>
      <c r="G220" s="310" t="s">
        <v>132</v>
      </c>
      <c r="H220" s="310" t="s">
        <v>132</v>
      </c>
      <c r="I220" s="310" t="s">
        <v>132</v>
      </c>
      <c r="J220" s="310" t="s">
        <v>132</v>
      </c>
      <c r="K220" s="310" t="s">
        <v>132</v>
      </c>
      <c r="L220" s="204">
        <f>'FY 2016 by Agency'!L224*Inflator!$E$6</f>
        <v>86304.357688113407</v>
      </c>
      <c r="M220" s="310" t="s">
        <v>132</v>
      </c>
      <c r="N220" s="310" t="s">
        <v>132</v>
      </c>
      <c r="O220" s="204">
        <f>'FY 2016 by Agency'!O224*Inflator!$E$7</f>
        <v>0</v>
      </c>
      <c r="P220" s="315">
        <f t="shared" si="264"/>
        <v>-86304.357688113407</v>
      </c>
      <c r="Q220" s="304">
        <f>P220/L220</f>
        <v>-1</v>
      </c>
      <c r="R220" s="204">
        <f>'FY 2016 by Agency'!R224*Inflator!$E$8</f>
        <v>0</v>
      </c>
      <c r="S220" s="204">
        <f t="shared" si="285"/>
        <v>0</v>
      </c>
      <c r="T220" s="394" t="s">
        <v>132</v>
      </c>
      <c r="U220" s="204">
        <f>'FY 2016 by Agency'!U224*Inflator!$E$9</f>
        <v>0</v>
      </c>
      <c r="V220" s="204">
        <f t="shared" si="265"/>
        <v>0</v>
      </c>
      <c r="W220" s="394" t="s">
        <v>132</v>
      </c>
      <c r="X220" s="204">
        <f>'FY 2016 by Agency'!X224*Inflator!$E$10</f>
        <v>0</v>
      </c>
      <c r="Y220" s="206">
        <f t="shared" si="266"/>
        <v>0</v>
      </c>
      <c r="Z220" s="311" t="s">
        <v>405</v>
      </c>
      <c r="AA220" s="204">
        <f>'FY 2016 by Agency'!AA224*Inflator!$E$11</f>
        <v>0</v>
      </c>
      <c r="AB220" s="206">
        <f t="shared" si="249"/>
        <v>0</v>
      </c>
      <c r="AC220" s="304" t="e">
        <f t="shared" si="250"/>
        <v>#DIV/0!</v>
      </c>
      <c r="AD220" s="204" t="e">
        <f>'FY 2016 by Agency'!AD224*Inflator!#REF!</f>
        <v>#REF!</v>
      </c>
      <c r="AE220" s="204">
        <f>'FY 2016 by Agency'!AE224*Inflator!$B$8</f>
        <v>0</v>
      </c>
      <c r="AF220" s="204">
        <f>'FY 2016 by Agency'!AF224*Inflator!$E$12</f>
        <v>0</v>
      </c>
      <c r="AG220" s="204">
        <f t="shared" si="251"/>
        <v>0</v>
      </c>
      <c r="AH220" s="304" t="e">
        <f t="shared" si="252"/>
        <v>#DIV/0!</v>
      </c>
      <c r="AI220" s="204">
        <f>'FY 2016 by Agency'!AI224*Inflator!$B$8</f>
        <v>0</v>
      </c>
      <c r="AJ220" s="204">
        <f>'FY 2016 by Agency'!AJ224*Inflator!$B$8</f>
        <v>0</v>
      </c>
      <c r="AK220" s="204">
        <f>'FY 2016 by Agency'!AK224</f>
        <v>0</v>
      </c>
      <c r="AL220" s="204">
        <f>'FY 2016 by Agency'!AL224</f>
        <v>0</v>
      </c>
      <c r="AM220" s="204">
        <f>'FY 2016 by Agency'!AM224</f>
        <v>0</v>
      </c>
      <c r="AN220" s="204">
        <f>'FY 2016 by Agency'!AN224</f>
        <v>0</v>
      </c>
      <c r="AO220" s="204">
        <f>'FY 2016 by Agency'!AO224</f>
        <v>0</v>
      </c>
      <c r="AP220" s="204">
        <f>'FY 2016 by Agency'!AP224</f>
        <v>0</v>
      </c>
      <c r="AQ220" s="204">
        <f>'FY 2016 by Agency'!AQ224</f>
        <v>0</v>
      </c>
      <c r="AR220" s="204">
        <f>'FY 2016 by Agency'!AR224</f>
        <v>0</v>
      </c>
      <c r="AS220" s="204">
        <f>'FY 2016 by Agency'!AS224</f>
        <v>0</v>
      </c>
      <c r="AT220" s="204" t="e">
        <f t="shared" si="253"/>
        <v>#REF!</v>
      </c>
      <c r="AU220" s="304" t="e">
        <f t="shared" si="254"/>
        <v>#REF!</v>
      </c>
      <c r="AV220" s="204">
        <f t="shared" si="255"/>
        <v>0</v>
      </c>
      <c r="AW220" s="304" t="e">
        <f t="shared" si="256"/>
        <v>#DIV/0!</v>
      </c>
      <c r="AZ220" s="207">
        <f t="shared" si="257"/>
        <v>0</v>
      </c>
      <c r="BA220" s="207">
        <f t="shared" si="258"/>
        <v>0</v>
      </c>
      <c r="BB220" s="207">
        <f t="shared" si="259"/>
        <v>0</v>
      </c>
      <c r="BC220" s="304" t="e">
        <f t="shared" si="260"/>
        <v>#DIV/0!</v>
      </c>
      <c r="BD220" s="207"/>
      <c r="BE220" s="207"/>
      <c r="BI220" s="318"/>
      <c r="BJ220" s="200">
        <f t="shared" si="267"/>
        <v>0</v>
      </c>
      <c r="BK220" s="200">
        <f t="shared" si="268"/>
        <v>0</v>
      </c>
      <c r="BL220" s="307">
        <f>'FY 2016 by Agency'!BB224*Inflator!$E$13</f>
        <v>0</v>
      </c>
      <c r="BM220" s="204">
        <f t="shared" si="269"/>
        <v>0</v>
      </c>
      <c r="BN220" s="199" t="e">
        <f t="shared" si="261"/>
        <v>#DIV/0!</v>
      </c>
      <c r="BO220" s="204">
        <f>'FY 2016 by Agency'!AX224*Inflator!$E$13</f>
        <v>0</v>
      </c>
      <c r="BP220" s="204">
        <f t="shared" si="281"/>
        <v>0</v>
      </c>
      <c r="BQ220" s="199" t="e">
        <f t="shared" si="282"/>
        <v>#DIV/0!</v>
      </c>
      <c r="BR220" s="204">
        <f>'FY 2016 by Agency'!BE224*Inflator!$E$14</f>
        <v>0</v>
      </c>
      <c r="BS220" s="204">
        <f t="shared" si="283"/>
        <v>0</v>
      </c>
      <c r="BT220" s="199" t="e">
        <f t="shared" si="284"/>
        <v>#DIV/0!</v>
      </c>
      <c r="BU220" s="315">
        <f>'FY 2016 by Agency'!BL224*Inflator!$E$14</f>
        <v>0</v>
      </c>
      <c r="BV220" s="204">
        <f t="shared" si="270"/>
        <v>0</v>
      </c>
      <c r="BW220" s="206">
        <v>0</v>
      </c>
      <c r="BX220" s="206">
        <f>'FY 2016 by Agency'!BW224*Inflator!E15</f>
        <v>0</v>
      </c>
      <c r="BY220" s="204">
        <f>'FY 2016 by Agency'!BZ224*Inflator!$E$15</f>
        <v>0</v>
      </c>
      <c r="BZ220" s="206">
        <f t="shared" si="275"/>
        <v>0</v>
      </c>
      <c r="CA220" s="199" t="e">
        <f t="shared" si="276"/>
        <v>#DIV/0!</v>
      </c>
      <c r="CB220" s="308">
        <f>'FY 2016 by Agency'!CF224*Inflator!$E$16</f>
        <v>0</v>
      </c>
      <c r="CC220" s="206">
        <f t="shared" si="262"/>
        <v>0</v>
      </c>
      <c r="CD220" s="304" t="e">
        <f t="shared" si="263"/>
        <v>#DIV/0!</v>
      </c>
      <c r="CE220" s="206">
        <f>'FY 2016 by Agency'!CK224*Inflator!$E$17</f>
        <v>0</v>
      </c>
      <c r="CF220" s="206">
        <f t="shared" si="271"/>
        <v>0</v>
      </c>
      <c r="CG220" s="562" t="e">
        <f t="shared" si="272"/>
        <v>#DIV/0!</v>
      </c>
      <c r="CH220" s="206">
        <f>'FY 2016 by Agency'!CN224*Inflator!$E$18</f>
        <v>0</v>
      </c>
      <c r="CI220" s="753">
        <f t="shared" si="273"/>
        <v>0</v>
      </c>
      <c r="CJ220" s="304" t="e">
        <f t="shared" si="274"/>
        <v>#DIV/0!</v>
      </c>
    </row>
    <row r="221" spans="1:88" s="317" customFormat="1" ht="18" customHeight="1" x14ac:dyDescent="0.25">
      <c r="A221" s="68" t="s">
        <v>323</v>
      </c>
      <c r="B221" s="310" t="s">
        <v>132</v>
      </c>
      <c r="C221" s="310" t="s">
        <v>132</v>
      </c>
      <c r="D221" s="310" t="s">
        <v>132</v>
      </c>
      <c r="E221" s="310" t="s">
        <v>132</v>
      </c>
      <c r="F221" s="310" t="s">
        <v>132</v>
      </c>
      <c r="G221" s="310" t="s">
        <v>132</v>
      </c>
      <c r="H221" s="310" t="s">
        <v>132</v>
      </c>
      <c r="I221" s="310" t="s">
        <v>132</v>
      </c>
      <c r="J221" s="310" t="s">
        <v>132</v>
      </c>
      <c r="K221" s="310" t="s">
        <v>132</v>
      </c>
      <c r="L221" s="204">
        <f>'FY 2016 by Agency'!L225*Inflator!$E$6</f>
        <v>0</v>
      </c>
      <c r="M221" s="310" t="s">
        <v>132</v>
      </c>
      <c r="N221" s="310" t="s">
        <v>132</v>
      </c>
      <c r="O221" s="204">
        <f>'FY 2016 by Agency'!O225*Inflator!$E$7</f>
        <v>0</v>
      </c>
      <c r="P221" s="315">
        <f t="shared" si="264"/>
        <v>0</v>
      </c>
      <c r="Q221" s="395" t="s">
        <v>132</v>
      </c>
      <c r="R221" s="204">
        <f>'FY 2016 by Agency'!R225*Inflator!$E$8</f>
        <v>168775.96741344195</v>
      </c>
      <c r="S221" s="204">
        <f t="shared" si="285"/>
        <v>168775.96741344195</v>
      </c>
      <c r="T221" s="395" t="s">
        <v>132</v>
      </c>
      <c r="U221" s="204">
        <f>'FY 2016 by Agency'!U225*Inflator!$E$9</f>
        <v>5614.7546419098135</v>
      </c>
      <c r="V221" s="315">
        <f t="shared" si="265"/>
        <v>-163161.21277153213</v>
      </c>
      <c r="W221" s="316">
        <f>V221/R221</f>
        <v>-0.96673249913504777</v>
      </c>
      <c r="X221" s="204">
        <f>'FY 2016 by Agency'!X225*Inflator!$E$10</f>
        <v>126896.76754525247</v>
      </c>
      <c r="Y221" s="206">
        <f t="shared" si="266"/>
        <v>121282.01290334266</v>
      </c>
      <c r="Z221" s="304">
        <f>Y221/U221</f>
        <v>21.600589988040788</v>
      </c>
      <c r="AA221" s="204">
        <f>'FY 2016 by Agency'!AA225*Inflator!$E$11</f>
        <v>93088.021662949992</v>
      </c>
      <c r="AB221" s="206">
        <f t="shared" si="249"/>
        <v>-33808.745882302479</v>
      </c>
      <c r="AC221" s="304">
        <f t="shared" si="250"/>
        <v>-0.26642716387748799</v>
      </c>
      <c r="AD221" s="204" t="e">
        <f>'FY 2016 by Agency'!AD225*Inflator!#REF!</f>
        <v>#REF!</v>
      </c>
      <c r="AE221" s="204">
        <f>'FY 2016 by Agency'!AE225*Inflator!$B$8</f>
        <v>0</v>
      </c>
      <c r="AF221" s="204">
        <f>'FY 2016 by Agency'!AF225*Inflator!$E$12</f>
        <v>102378.47744360904</v>
      </c>
      <c r="AG221" s="204">
        <f t="shared" si="251"/>
        <v>9290.4557806590456</v>
      </c>
      <c r="AH221" s="304">
        <f t="shared" si="252"/>
        <v>9.9802913572463903E-2</v>
      </c>
      <c r="AI221" s="204">
        <f>'FY 2016 by Agency'!AI225*Inflator!$B$8</f>
        <v>0</v>
      </c>
      <c r="AJ221" s="204">
        <f>'FY 2016 by Agency'!AJ225*Inflator!$B$8</f>
        <v>0</v>
      </c>
      <c r="AK221" s="204">
        <f>'FY 2016 by Agency'!AK225</f>
        <v>96700</v>
      </c>
      <c r="AL221" s="204">
        <f>'FY 2016 by Agency'!AL225</f>
        <v>0</v>
      </c>
      <c r="AM221" s="204">
        <f>'FY 2016 by Agency'!AM225</f>
        <v>96700</v>
      </c>
      <c r="AN221" s="204">
        <f>'FY 2016 by Agency'!AN225</f>
        <v>98700</v>
      </c>
      <c r="AO221" s="204">
        <f>'FY 2016 by Agency'!AO225</f>
        <v>98700</v>
      </c>
      <c r="AP221" s="204">
        <f>'FY 2016 by Agency'!AP225</f>
        <v>0</v>
      </c>
      <c r="AQ221" s="204">
        <f>'FY 2016 by Agency'!AQ225</f>
        <v>0</v>
      </c>
      <c r="AR221" s="204">
        <f>'FY 2016 by Agency'!AR225</f>
        <v>0</v>
      </c>
      <c r="AS221" s="204">
        <f>'FY 2016 by Agency'!AS225</f>
        <v>94200</v>
      </c>
      <c r="AT221" s="204" t="e">
        <f t="shared" si="253"/>
        <v>#REF!</v>
      </c>
      <c r="AU221" s="304" t="e">
        <f t="shared" si="254"/>
        <v>#REF!</v>
      </c>
      <c r="AV221" s="204">
        <f t="shared" si="255"/>
        <v>-8178.4774436090374</v>
      </c>
      <c r="AW221" s="304">
        <f t="shared" si="256"/>
        <v>-7.9884734055688744E-2</v>
      </c>
      <c r="AX221" s="305" t="s">
        <v>476</v>
      </c>
      <c r="AY221" s="200">
        <v>98700</v>
      </c>
      <c r="AZ221" s="207">
        <f t="shared" si="257"/>
        <v>0</v>
      </c>
      <c r="BA221" s="207">
        <f t="shared" si="258"/>
        <v>-8178.4774436090374</v>
      </c>
      <c r="BB221" s="207">
        <f t="shared" si="259"/>
        <v>94200</v>
      </c>
      <c r="BC221" s="304">
        <f t="shared" si="260"/>
        <v>-7.9884734055688744E-2</v>
      </c>
      <c r="BD221" s="207"/>
      <c r="BE221" s="207"/>
      <c r="BI221" s="318">
        <v>98700</v>
      </c>
      <c r="BJ221" s="200">
        <f t="shared" si="267"/>
        <v>0</v>
      </c>
      <c r="BK221" s="200">
        <f t="shared" si="268"/>
        <v>98700</v>
      </c>
      <c r="BL221" s="307">
        <f>'FY 2016 by Agency'!BB225*Inflator!$E$13</f>
        <v>103571.13213304852</v>
      </c>
      <c r="BM221" s="204">
        <f t="shared" si="269"/>
        <v>1192.6546894394851</v>
      </c>
      <c r="BN221" s="199">
        <f t="shared" si="261"/>
        <v>1.1649466950672418E-2</v>
      </c>
      <c r="BO221" s="204">
        <f>'FY 2016 by Agency'!AX225*Inflator!$E$13</f>
        <v>108518.79768080561</v>
      </c>
      <c r="BP221" s="204">
        <f t="shared" si="281"/>
        <v>6140.3202371965745</v>
      </c>
      <c r="BQ221" s="199">
        <f t="shared" si="282"/>
        <v>5.9976670785895567E-2</v>
      </c>
      <c r="BR221" s="204">
        <f>'FY 2016 by Agency'!BE225*Inflator!$E$14</f>
        <v>117881.22765196662</v>
      </c>
      <c r="BS221" s="204">
        <f t="shared" si="283"/>
        <v>9362.4299711610074</v>
      </c>
      <c r="BT221" s="199">
        <f t="shared" si="284"/>
        <v>8.6274730012208728E-2</v>
      </c>
      <c r="BU221" s="315">
        <f>'FY 2016 by Agency'!BL225*Inflator!$E$14</f>
        <v>117881.22765196662</v>
      </c>
      <c r="BV221" s="204">
        <f t="shared" si="270"/>
        <v>14310.095518918097</v>
      </c>
      <c r="BW221" s="206">
        <v>107800</v>
      </c>
      <c r="BX221" s="206">
        <f>'FY 2016 by Agency'!BW225*Inflator!E15</f>
        <v>113867.8979771328</v>
      </c>
      <c r="BY221" s="204">
        <f>'FY 2016 by Agency'!BZ225*Inflator!$E$15</f>
        <v>113867.8979771328</v>
      </c>
      <c r="BZ221" s="206">
        <f t="shared" si="275"/>
        <v>-10081.227651966619</v>
      </c>
      <c r="CA221" s="199">
        <f t="shared" si="276"/>
        <v>-8.5520212613754823E-2</v>
      </c>
      <c r="CB221" s="308">
        <f>'FY 2016 by Agency'!CF225*Inflator!$E$16</f>
        <v>90101.010684377703</v>
      </c>
      <c r="CC221" s="206">
        <f t="shared" si="262"/>
        <v>-23766.887292755098</v>
      </c>
      <c r="CD221" s="304">
        <f t="shared" si="263"/>
        <v>-0.20872333392443951</v>
      </c>
      <c r="CE221" s="206">
        <f>'FY 2016 by Agency'!CK225*Inflator!$E$17</f>
        <v>93316.576933975637</v>
      </c>
      <c r="CF221" s="206">
        <f t="shared" si="271"/>
        <v>3215.5662495979341</v>
      </c>
      <c r="CG221" s="562">
        <f t="shared" si="272"/>
        <v>3.5688459265590347E-2</v>
      </c>
      <c r="CH221" s="206">
        <f>'FY 2016 by Agency'!CN225*Inflator!$E$18</f>
        <v>95400</v>
      </c>
      <c r="CI221" s="753">
        <f t="shared" si="273"/>
        <v>2083.4230660243629</v>
      </c>
      <c r="CJ221" s="304">
        <f t="shared" si="274"/>
        <v>2.2326398315043738E-2</v>
      </c>
    </row>
    <row r="222" spans="1:88" s="317" customFormat="1" ht="18" customHeight="1" x14ac:dyDescent="0.25">
      <c r="A222" s="68" t="s">
        <v>324</v>
      </c>
      <c r="B222" s="302">
        <f>'FY 2016 by Agency'!B226*Inflator!$E$2</f>
        <v>0</v>
      </c>
      <c r="C222" s="302">
        <f>'FY 2016 by Agency'!C226*Inflator!$E$3</f>
        <v>0</v>
      </c>
      <c r="D222" s="302">
        <f t="shared" si="277"/>
        <v>0</v>
      </c>
      <c r="E222" s="310" t="s">
        <v>132</v>
      </c>
      <c r="F222" s="204">
        <f>'FY 2016 by Agency'!F226*Inflator!$E$4</f>
        <v>0</v>
      </c>
      <c r="G222" s="204">
        <f t="shared" si="278"/>
        <v>0</v>
      </c>
      <c r="H222" s="310" t="s">
        <v>132</v>
      </c>
      <c r="I222" s="204">
        <f>'FY 2016 by Agency'!I226*Inflator!$E$5</f>
        <v>0</v>
      </c>
      <c r="J222" s="204">
        <f t="shared" si="279"/>
        <v>0</v>
      </c>
      <c r="K222" s="310" t="s">
        <v>132</v>
      </c>
      <c r="L222" s="204">
        <f>'FY 2016 by Agency'!L226*Inflator!$E$6</f>
        <v>0</v>
      </c>
      <c r="M222" s="204">
        <f t="shared" si="280"/>
        <v>0</v>
      </c>
      <c r="N222" s="310" t="s">
        <v>132</v>
      </c>
      <c r="O222" s="204">
        <f>'FY 2016 by Agency'!O226*Inflator!$E$7</f>
        <v>0</v>
      </c>
      <c r="P222" s="315">
        <f t="shared" si="264"/>
        <v>0</v>
      </c>
      <c r="Q222" s="394" t="s">
        <v>132</v>
      </c>
      <c r="R222" s="204">
        <f>'FY 2016 by Agency'!R226*Inflator!$E$8</f>
        <v>0</v>
      </c>
      <c r="S222" s="204">
        <f t="shared" si="285"/>
        <v>0</v>
      </c>
      <c r="T222" s="394" t="s">
        <v>132</v>
      </c>
      <c r="U222" s="204">
        <f>'FY 2016 by Agency'!U226*Inflator!$E$9</f>
        <v>0</v>
      </c>
      <c r="V222" s="315">
        <f t="shared" si="265"/>
        <v>0</v>
      </c>
      <c r="W222" s="394" t="s">
        <v>132</v>
      </c>
      <c r="X222" s="204">
        <f>'FY 2016 by Agency'!X226*Inflator!$E$10</f>
        <v>2874.1619561765642</v>
      </c>
      <c r="Y222" s="206">
        <f t="shared" si="266"/>
        <v>2874.1619561765642</v>
      </c>
      <c r="Z222" s="311" t="s">
        <v>405</v>
      </c>
      <c r="AA222" s="204">
        <f>'FY 2016 by Agency'!AA226*Inflator!$E$11</f>
        <v>6886.9066581713932</v>
      </c>
      <c r="AB222" s="206">
        <f t="shared" si="249"/>
        <v>4012.744701994829</v>
      </c>
      <c r="AC222" s="304">
        <f t="shared" si="250"/>
        <v>1.3961442546309732</v>
      </c>
      <c r="AD222" s="204" t="e">
        <f>'FY 2016 by Agency'!AD226*Inflator!#REF!</f>
        <v>#REF!</v>
      </c>
      <c r="AE222" s="204">
        <f>'FY 2016 by Agency'!AE226*Inflator!$B$8</f>
        <v>0</v>
      </c>
      <c r="AF222" s="204">
        <f>'FY 2016 by Agency'!AF226*Inflator!$E$12</f>
        <v>2425.7039473684213</v>
      </c>
      <c r="AG222" s="204">
        <f t="shared" si="251"/>
        <v>-4461.2027108029724</v>
      </c>
      <c r="AH222" s="304">
        <f t="shared" si="252"/>
        <v>-0.64778033625731002</v>
      </c>
      <c r="AI222" s="204">
        <f>'FY 2016 by Agency'!AI226*Inflator!$B$8</f>
        <v>0</v>
      </c>
      <c r="AJ222" s="204">
        <f>'FY 2016 by Agency'!AJ226*Inflator!$B$8</f>
        <v>0</v>
      </c>
      <c r="AK222" s="204">
        <f>'FY 2016 by Agency'!AK226</f>
        <v>0</v>
      </c>
      <c r="AL222" s="204">
        <f>'FY 2016 by Agency'!AL226</f>
        <v>0</v>
      </c>
      <c r="AM222" s="204">
        <f>'FY 2016 by Agency'!AM226</f>
        <v>0</v>
      </c>
      <c r="AN222" s="204">
        <f>'FY 2016 by Agency'!AN226</f>
        <v>0</v>
      </c>
      <c r="AO222" s="204">
        <f>'FY 2016 by Agency'!AO226</f>
        <v>7574</v>
      </c>
      <c r="AP222" s="204">
        <f>'FY 2016 by Agency'!AP226</f>
        <v>0</v>
      </c>
      <c r="AQ222" s="204">
        <f>'FY 2016 by Agency'!AQ226</f>
        <v>0</v>
      </c>
      <c r="AR222" s="204">
        <f>'FY 2016 by Agency'!AR226</f>
        <v>0</v>
      </c>
      <c r="AS222" s="204">
        <f>'FY 2016 by Agency'!AS226</f>
        <v>4782.4245799999999</v>
      </c>
      <c r="AT222" s="204" t="e">
        <f t="shared" si="253"/>
        <v>#REF!</v>
      </c>
      <c r="AU222" s="304" t="e">
        <f t="shared" si="254"/>
        <v>#REF!</v>
      </c>
      <c r="AV222" s="204">
        <f t="shared" si="255"/>
        <v>2356.7206326315786</v>
      </c>
      <c r="AW222" s="304">
        <f t="shared" si="256"/>
        <v>0.97156152760864301</v>
      </c>
      <c r="AX222" s="410" t="s">
        <v>477</v>
      </c>
      <c r="AY222" s="200">
        <v>7574</v>
      </c>
      <c r="AZ222" s="207">
        <f t="shared" si="257"/>
        <v>0</v>
      </c>
      <c r="BA222" s="207">
        <f t="shared" si="258"/>
        <v>2356.7206326315786</v>
      </c>
      <c r="BB222" s="207">
        <f t="shared" si="259"/>
        <v>4782.4245799999999</v>
      </c>
      <c r="BC222" s="304">
        <f t="shared" si="260"/>
        <v>0.97156152760864289</v>
      </c>
      <c r="BD222" s="207"/>
      <c r="BE222" s="207"/>
      <c r="BI222" s="318">
        <v>7574</v>
      </c>
      <c r="BJ222" s="200">
        <f t="shared" si="267"/>
        <v>0</v>
      </c>
      <c r="BK222" s="200">
        <f t="shared" si="268"/>
        <v>7574</v>
      </c>
      <c r="BL222" s="307">
        <f>'FY 2016 by Agency'!BB226*Inflator!$E$13</f>
        <v>5258.1860731583765</v>
      </c>
      <c r="BM222" s="204">
        <f t="shared" si="269"/>
        <v>2832.4821257899553</v>
      </c>
      <c r="BN222" s="199">
        <f t="shared" si="261"/>
        <v>1.1676948989850291</v>
      </c>
      <c r="BO222" s="204">
        <f>'FY 2016 by Agency'!AX226*Inflator!$E$13</f>
        <v>8327.4708574916076</v>
      </c>
      <c r="BP222" s="204">
        <f t="shared" si="281"/>
        <v>5901.7669101231859</v>
      </c>
      <c r="BQ222" s="199">
        <f t="shared" si="282"/>
        <v>2.4330120402886957</v>
      </c>
      <c r="BR222" s="204">
        <f>'FY 2016 by Agency'!BE226*Inflator!$E$14</f>
        <v>5984.243742550655</v>
      </c>
      <c r="BS222" s="204">
        <f t="shared" si="283"/>
        <v>-2343.2271149409526</v>
      </c>
      <c r="BT222" s="199">
        <f t="shared" si="284"/>
        <v>-0.28138520747063617</v>
      </c>
      <c r="BU222" s="315">
        <f>'FY 2016 by Agency'!BL226*Inflator!$E$14</f>
        <v>5984.243742550655</v>
      </c>
      <c r="BV222" s="204">
        <f t="shared" si="270"/>
        <v>726.05766939227851</v>
      </c>
      <c r="BW222" s="206">
        <v>8222</v>
      </c>
      <c r="BX222" s="206">
        <f>'FY 2016 by Agency'!BW226*Inflator!E15</f>
        <v>8684.8038698328928</v>
      </c>
      <c r="BY222" s="204">
        <f>'FY 2016 by Agency'!BZ226*Inflator!$E$15</f>
        <v>7040.1627088830246</v>
      </c>
      <c r="BZ222" s="206">
        <f t="shared" si="275"/>
        <v>2237.756257449345</v>
      </c>
      <c r="CA222" s="199">
        <f t="shared" si="276"/>
        <v>0.37394136230412794</v>
      </c>
      <c r="CB222" s="308">
        <f>'FY 2016 by Agency'!CF226*Inflator!$E$16</f>
        <v>8140.3037828472416</v>
      </c>
      <c r="CC222" s="206">
        <f t="shared" si="262"/>
        <v>1100.141073964217</v>
      </c>
      <c r="CD222" s="304">
        <f t="shared" si="263"/>
        <v>0.1562664272767586</v>
      </c>
      <c r="CE222" s="206">
        <f>'FY 2016 by Agency'!CK226*Inflator!$E$17</f>
        <v>8003.376877302353</v>
      </c>
      <c r="CF222" s="206">
        <f t="shared" si="271"/>
        <v>-136.92690554488854</v>
      </c>
      <c r="CG222" s="562">
        <f t="shared" si="272"/>
        <v>-1.6820859417238539E-2</v>
      </c>
      <c r="CH222" s="206">
        <f>'FY 2016 by Agency'!CN226*Inflator!$E$18</f>
        <v>7832</v>
      </c>
      <c r="CI222" s="753">
        <f t="shared" si="273"/>
        <v>-171.37687730235302</v>
      </c>
      <c r="CJ222" s="304">
        <f t="shared" si="274"/>
        <v>-2.1413070998615516E-2</v>
      </c>
    </row>
    <row r="223" spans="1:88" s="317" customFormat="1" ht="18" customHeight="1" x14ac:dyDescent="0.25">
      <c r="A223" s="68" t="s">
        <v>478</v>
      </c>
      <c r="B223" s="302">
        <f>'FY 2016 by Agency'!B227*Inflator!$E$2</f>
        <v>0</v>
      </c>
      <c r="C223" s="302">
        <f>'FY 2016 by Agency'!C227*Inflator!$E$3</f>
        <v>0</v>
      </c>
      <c r="D223" s="302">
        <f t="shared" si="277"/>
        <v>0</v>
      </c>
      <c r="E223" s="310" t="s">
        <v>132</v>
      </c>
      <c r="F223" s="204">
        <f>'FY 2016 by Agency'!F227*Inflator!$E$4</f>
        <v>0</v>
      </c>
      <c r="G223" s="204">
        <f t="shared" si="278"/>
        <v>0</v>
      </c>
      <c r="H223" s="310" t="s">
        <v>132</v>
      </c>
      <c r="I223" s="204">
        <f>'FY 2016 by Agency'!I227*Inflator!$E$5</f>
        <v>0</v>
      </c>
      <c r="J223" s="204">
        <f t="shared" si="279"/>
        <v>0</v>
      </c>
      <c r="K223" s="310" t="s">
        <v>132</v>
      </c>
      <c r="L223" s="310" t="s">
        <v>132</v>
      </c>
      <c r="M223" s="310" t="s">
        <v>132</v>
      </c>
      <c r="N223" s="310" t="s">
        <v>132</v>
      </c>
      <c r="O223" s="310" t="s">
        <v>132</v>
      </c>
      <c r="P223" s="310" t="s">
        <v>132</v>
      </c>
      <c r="Q223" s="310" t="s">
        <v>132</v>
      </c>
      <c r="R223" s="310" t="s">
        <v>132</v>
      </c>
      <c r="S223" s="310" t="s">
        <v>132</v>
      </c>
      <c r="T223" s="310" t="s">
        <v>132</v>
      </c>
      <c r="U223" s="310" t="s">
        <v>132</v>
      </c>
      <c r="V223" s="310" t="s">
        <v>132</v>
      </c>
      <c r="W223" s="310" t="s">
        <v>132</v>
      </c>
      <c r="X223" s="204">
        <f>'FY 2016 by Agency'!X227*Inflator!$E$10</f>
        <v>53086.18323277231</v>
      </c>
      <c r="Y223" s="311" t="s">
        <v>405</v>
      </c>
      <c r="Z223" s="311" t="s">
        <v>405</v>
      </c>
      <c r="AA223" s="204">
        <f>'FY 2016 by Agency'!AA227*Inflator!$E$11</f>
        <v>57441.392800254864</v>
      </c>
      <c r="AB223" s="206">
        <f t="shared" si="249"/>
        <v>4355.2095674825541</v>
      </c>
      <c r="AC223" s="304">
        <f t="shared" si="250"/>
        <v>8.2040359699355858E-2</v>
      </c>
      <c r="AD223" s="204" t="e">
        <f>'FY 2016 by Agency'!AD227*Inflator!#REF!</f>
        <v>#REF!</v>
      </c>
      <c r="AE223" s="204">
        <f>'FY 2016 by Agency'!AE227*Inflator!$B$8</f>
        <v>0</v>
      </c>
      <c r="AF223" s="204">
        <f>'FY 2016 by Agency'!AF227*Inflator!$E$12</f>
        <v>36211.7302631579</v>
      </c>
      <c r="AG223" s="204">
        <f t="shared" si="251"/>
        <v>-21229.662537096963</v>
      </c>
      <c r="AH223" s="304">
        <f t="shared" si="252"/>
        <v>-0.36958822727228108</v>
      </c>
      <c r="AI223" s="204">
        <f>'FY 2016 by Agency'!AI227*Inflator!$B$8</f>
        <v>0</v>
      </c>
      <c r="AJ223" s="204">
        <f>'FY 2016 by Agency'!AJ227*Inflator!$B$8</f>
        <v>0</v>
      </c>
      <c r="AK223" s="204">
        <f>'FY 2016 by Agency'!AK227</f>
        <v>0</v>
      </c>
      <c r="AL223" s="204">
        <f>'FY 2016 by Agency'!AL227</f>
        <v>0</v>
      </c>
      <c r="AM223" s="204">
        <f>'FY 2016 by Agency'!AM227</f>
        <v>0</v>
      </c>
      <c r="AN223" s="204">
        <f>'FY 2016 by Agency'!AN227</f>
        <v>0</v>
      </c>
      <c r="AO223" s="204">
        <f>'FY 2016 by Agency'!AO227</f>
        <v>29582</v>
      </c>
      <c r="AP223" s="204">
        <f>'FY 2016 by Agency'!AP227</f>
        <v>0</v>
      </c>
      <c r="AQ223" s="204">
        <f>'FY 2016 by Agency'!AQ227</f>
        <v>0</v>
      </c>
      <c r="AR223" s="204">
        <f>'FY 2016 by Agency'!AR227</f>
        <v>0</v>
      </c>
      <c r="AS223" s="204">
        <f>'FY 2016 by Agency'!AS227</f>
        <v>30336</v>
      </c>
      <c r="AT223" s="204" t="e">
        <f t="shared" si="253"/>
        <v>#REF!</v>
      </c>
      <c r="AU223" s="304" t="e">
        <f t="shared" si="254"/>
        <v>#REF!</v>
      </c>
      <c r="AV223" s="204">
        <f t="shared" si="255"/>
        <v>-5875.7302631579005</v>
      </c>
      <c r="AW223" s="304">
        <f t="shared" si="256"/>
        <v>-0.16226041176319914</v>
      </c>
      <c r="AX223" s="440" t="s">
        <v>479</v>
      </c>
      <c r="AY223" s="200">
        <v>29582</v>
      </c>
      <c r="AZ223" s="207">
        <f t="shared" si="257"/>
        <v>0</v>
      </c>
      <c r="BA223" s="207">
        <f t="shared" si="258"/>
        <v>-5875.7302631579005</v>
      </c>
      <c r="BB223" s="207">
        <f t="shared" si="259"/>
        <v>30336</v>
      </c>
      <c r="BC223" s="304">
        <f t="shared" si="260"/>
        <v>-0.16226041176319916</v>
      </c>
      <c r="BD223" s="207"/>
      <c r="BE223" s="207"/>
      <c r="BI223" s="319">
        <v>29582</v>
      </c>
      <c r="BJ223" s="200">
        <f t="shared" si="267"/>
        <v>0</v>
      </c>
      <c r="BK223" s="200">
        <f t="shared" si="268"/>
        <v>29582</v>
      </c>
      <c r="BL223" s="307">
        <f>'FY 2016 by Agency'!BB227*Inflator!$E$13</f>
        <v>33353.862679279831</v>
      </c>
      <c r="BM223" s="204">
        <f t="shared" si="269"/>
        <v>-2857.8675838780691</v>
      </c>
      <c r="BN223" s="199">
        <f t="shared" si="261"/>
        <v>-7.8921044730792284E-2</v>
      </c>
      <c r="BO223" s="204">
        <f>'FY 2016 by Agency'!AX227*Inflator!$E$13</f>
        <v>32524.853829722306</v>
      </c>
      <c r="BP223" s="204">
        <f t="shared" si="281"/>
        <v>-3686.8764334355947</v>
      </c>
      <c r="BQ223" s="199">
        <f t="shared" si="282"/>
        <v>-0.10181442329991759</v>
      </c>
      <c r="BR223" s="204">
        <f>'FY 2016 by Agency'!BE227*Inflator!$E$14</f>
        <v>59295.975268176393</v>
      </c>
      <c r="BS223" s="204">
        <f t="shared" si="283"/>
        <v>26771.121438454087</v>
      </c>
      <c r="BT223" s="199">
        <f t="shared" si="284"/>
        <v>0.82309736359183072</v>
      </c>
      <c r="BU223" s="315">
        <f>'FY 2016 by Agency'!BL227*Inflator!$E$14</f>
        <v>59295.975268176393</v>
      </c>
      <c r="BV223" s="204">
        <f>BU223-BL223</f>
        <v>25942.112588896562</v>
      </c>
      <c r="BW223" s="206">
        <v>47020</v>
      </c>
      <c r="BX223" s="206">
        <f>'FY 2016 by Agency'!BW227*Inflator!E15</f>
        <v>49666.684256816181</v>
      </c>
      <c r="BY223" s="204">
        <f>'FY 2016 by Agency'!BZ227*Inflator!$E$15</f>
        <v>0</v>
      </c>
      <c r="BZ223" s="206">
        <f t="shared" si="275"/>
        <v>-12275.975268176393</v>
      </c>
      <c r="CA223" s="199">
        <f t="shared" si="276"/>
        <v>-0.20702881119091393</v>
      </c>
      <c r="CB223" s="308">
        <f>'FY 2016 by Agency'!CF227*Inflator!$E$16</f>
        <v>0</v>
      </c>
      <c r="CC223" s="206">
        <f t="shared" si="262"/>
        <v>0</v>
      </c>
      <c r="CD223" s="304" t="e">
        <f t="shared" si="263"/>
        <v>#DIV/0!</v>
      </c>
      <c r="CE223" s="206">
        <f>'FY 2016 by Agency'!CK227*Inflator!$E$17</f>
        <v>0</v>
      </c>
      <c r="CF223" s="206">
        <f t="shared" si="271"/>
        <v>0</v>
      </c>
      <c r="CG223" s="562" t="e">
        <f t="shared" si="272"/>
        <v>#DIV/0!</v>
      </c>
      <c r="CH223" s="206">
        <f>'FY 2016 by Agency'!CN227*Inflator!$E$18</f>
        <v>0</v>
      </c>
      <c r="CI223" s="753">
        <f t="shared" si="273"/>
        <v>0</v>
      </c>
      <c r="CJ223" s="304" t="e">
        <f t="shared" si="274"/>
        <v>#DIV/0!</v>
      </c>
    </row>
    <row r="224" spans="1:88" s="317" customFormat="1" ht="18" customHeight="1" x14ac:dyDescent="0.25">
      <c r="A224" s="317" t="s">
        <v>326</v>
      </c>
      <c r="B224" s="310" t="s">
        <v>132</v>
      </c>
      <c r="C224" s="310" t="s">
        <v>132</v>
      </c>
      <c r="D224" s="310" t="s">
        <v>132</v>
      </c>
      <c r="E224" s="310" t="s">
        <v>132</v>
      </c>
      <c r="F224" s="204">
        <f>'FY 2016 by Agency'!F228*Inflator!$E$4</f>
        <v>0</v>
      </c>
      <c r="G224" s="310" t="s">
        <v>132</v>
      </c>
      <c r="H224" s="310" t="s">
        <v>132</v>
      </c>
      <c r="I224" s="204">
        <f>'FY 2016 by Agency'!I228*Inflator!$E$5</f>
        <v>14235.132763108964</v>
      </c>
      <c r="J224" s="204">
        <f t="shared" si="279"/>
        <v>14235.132763108964</v>
      </c>
      <c r="K224" s="310" t="s">
        <v>132</v>
      </c>
      <c r="L224" s="310" t="s">
        <v>132</v>
      </c>
      <c r="M224" s="310" t="s">
        <v>132</v>
      </c>
      <c r="N224" s="310" t="s">
        <v>132</v>
      </c>
      <c r="O224" s="310" t="s">
        <v>132</v>
      </c>
      <c r="P224" s="310" t="s">
        <v>132</v>
      </c>
      <c r="Q224" s="310" t="s">
        <v>132</v>
      </c>
      <c r="R224" s="310" t="s">
        <v>132</v>
      </c>
      <c r="S224" s="310" t="s">
        <v>132</v>
      </c>
      <c r="T224" s="310" t="s">
        <v>132</v>
      </c>
      <c r="U224" s="310" t="s">
        <v>132</v>
      </c>
      <c r="V224" s="310" t="s">
        <v>132</v>
      </c>
      <c r="W224" s="310" t="s">
        <v>132</v>
      </c>
      <c r="X224" s="310" t="s">
        <v>132</v>
      </c>
      <c r="Y224" s="310" t="s">
        <v>132</v>
      </c>
      <c r="Z224" s="310" t="s">
        <v>132</v>
      </c>
      <c r="AA224" s="204">
        <f>'FY 2016 by Agency'!AA228*Inflator!$E$11</f>
        <v>0</v>
      </c>
      <c r="AB224" s="206" t="e">
        <f t="shared" si="249"/>
        <v>#VALUE!</v>
      </c>
      <c r="AC224" s="304" t="e">
        <f t="shared" si="250"/>
        <v>#VALUE!</v>
      </c>
      <c r="AD224" s="204" t="e">
        <f>'FY 2016 by Agency'!AD228*Inflator!#REF!</f>
        <v>#REF!</v>
      </c>
      <c r="AE224" s="204">
        <f>'FY 2016 by Agency'!AE228*Inflator!$B$8</f>
        <v>0</v>
      </c>
      <c r="AF224" s="204">
        <f>'FY 2016 by Agency'!AF228*Inflator!$E$12</f>
        <v>0</v>
      </c>
      <c r="AG224" s="204">
        <f t="shared" si="251"/>
        <v>0</v>
      </c>
      <c r="AH224" s="304" t="e">
        <f t="shared" si="252"/>
        <v>#DIV/0!</v>
      </c>
      <c r="AI224" s="204">
        <f>'FY 2016 by Agency'!AI228*Inflator!$B$8</f>
        <v>0</v>
      </c>
      <c r="AJ224" s="204">
        <f>'FY 2016 by Agency'!AJ228*Inflator!$B$8</f>
        <v>0</v>
      </c>
      <c r="AK224" s="204">
        <f>'FY 2016 by Agency'!AK228</f>
        <v>0</v>
      </c>
      <c r="AL224" s="204">
        <f>'FY 2016 by Agency'!AL228</f>
        <v>0</v>
      </c>
      <c r="AM224" s="204">
        <f>'FY 2016 by Agency'!AM228</f>
        <v>0</v>
      </c>
      <c r="AN224" s="204">
        <f>'FY 2016 by Agency'!AN228</f>
        <v>0</v>
      </c>
      <c r="AO224" s="204">
        <f>'FY 2016 by Agency'!AO228</f>
        <v>0</v>
      </c>
      <c r="AP224" s="204">
        <f>'FY 2016 by Agency'!AP228</f>
        <v>0</v>
      </c>
      <c r="AQ224" s="204">
        <f>'FY 2016 by Agency'!AQ228</f>
        <v>0</v>
      </c>
      <c r="AR224" s="204">
        <f>'FY 2016 by Agency'!AR228</f>
        <v>0</v>
      </c>
      <c r="AS224" s="204">
        <f>'FY 2016 by Agency'!AS228</f>
        <v>0</v>
      </c>
      <c r="AT224" s="204" t="e">
        <f t="shared" si="253"/>
        <v>#REF!</v>
      </c>
      <c r="AU224" s="304" t="e">
        <f t="shared" si="254"/>
        <v>#REF!</v>
      </c>
      <c r="AV224" s="204">
        <f t="shared" si="255"/>
        <v>0</v>
      </c>
      <c r="AW224" s="304" t="e">
        <f t="shared" si="256"/>
        <v>#DIV/0!</v>
      </c>
      <c r="AX224" s="410" t="s">
        <v>480</v>
      </c>
      <c r="AY224" s="200">
        <v>0</v>
      </c>
      <c r="AZ224" s="207">
        <f t="shared" si="257"/>
        <v>0</v>
      </c>
      <c r="BA224" s="207">
        <f t="shared" si="258"/>
        <v>0</v>
      </c>
      <c r="BB224" s="207">
        <f t="shared" si="259"/>
        <v>0</v>
      </c>
      <c r="BC224" s="304" t="e">
        <f t="shared" si="260"/>
        <v>#DIV/0!</v>
      </c>
      <c r="BD224" s="207"/>
      <c r="BE224" s="207"/>
      <c r="BI224" s="318">
        <v>0</v>
      </c>
      <c r="BJ224" s="200">
        <f t="shared" si="267"/>
        <v>0</v>
      </c>
      <c r="BK224" s="200">
        <f t="shared" si="268"/>
        <v>0</v>
      </c>
      <c r="BL224" s="307">
        <f>'FY 2016 by Agency'!BB228*Inflator!$E$13</f>
        <v>0</v>
      </c>
      <c r="BM224" s="204">
        <f t="shared" si="269"/>
        <v>0</v>
      </c>
      <c r="BN224" s="199" t="e">
        <f t="shared" si="261"/>
        <v>#DIV/0!</v>
      </c>
      <c r="BO224" s="204">
        <f>'FY 2016 by Agency'!AX228*Inflator!$E$13</f>
        <v>0</v>
      </c>
      <c r="BP224" s="204">
        <f t="shared" si="281"/>
        <v>0</v>
      </c>
      <c r="BQ224" s="199" t="e">
        <f t="shared" si="282"/>
        <v>#DIV/0!</v>
      </c>
      <c r="BR224" s="204">
        <v>0</v>
      </c>
      <c r="BS224" s="204">
        <f t="shared" si="283"/>
        <v>0</v>
      </c>
      <c r="BT224" s="199" t="e">
        <f t="shared" si="284"/>
        <v>#DIV/0!</v>
      </c>
      <c r="BU224" s="315">
        <f>'FY 2016 by Agency'!BL228*Inflator!$E$14</f>
        <v>0</v>
      </c>
      <c r="BV224" s="204">
        <f t="shared" si="270"/>
        <v>0</v>
      </c>
      <c r="BW224" s="206">
        <v>0</v>
      </c>
      <c r="BX224" s="206">
        <f>'FY 2016 by Agency'!BW228*Inflator!E15</f>
        <v>0</v>
      </c>
      <c r="BY224" s="204">
        <f>'FY 2016 by Agency'!BZ228*Inflator!$E$15</f>
        <v>0</v>
      </c>
      <c r="BZ224" s="206">
        <f t="shared" si="275"/>
        <v>0</v>
      </c>
      <c r="CA224" s="199" t="e">
        <f t="shared" si="276"/>
        <v>#DIV/0!</v>
      </c>
      <c r="CB224" s="308">
        <f>'FY 2016 by Agency'!CF228*Inflator!$E$16</f>
        <v>0</v>
      </c>
      <c r="CC224" s="206">
        <f t="shared" si="262"/>
        <v>0</v>
      </c>
      <c r="CD224" s="304" t="e">
        <f t="shared" si="263"/>
        <v>#DIV/0!</v>
      </c>
      <c r="CE224" s="206">
        <f>'FY 2016 by Agency'!CK228*Inflator!$E$17</f>
        <v>0</v>
      </c>
      <c r="CF224" s="206">
        <f t="shared" si="271"/>
        <v>0</v>
      </c>
      <c r="CG224" s="562" t="e">
        <f t="shared" si="272"/>
        <v>#DIV/0!</v>
      </c>
      <c r="CH224" s="206">
        <f>'FY 2016 by Agency'!CN228*Inflator!$E$18</f>
        <v>0</v>
      </c>
      <c r="CI224" s="753">
        <f t="shared" si="273"/>
        <v>0</v>
      </c>
      <c r="CJ224" s="304" t="e">
        <f t="shared" si="274"/>
        <v>#DIV/0!</v>
      </c>
    </row>
    <row r="225" spans="1:88" s="317" customFormat="1" ht="18" customHeight="1" x14ac:dyDescent="0.25">
      <c r="A225" s="317" t="s">
        <v>481</v>
      </c>
      <c r="B225" s="310" t="s">
        <v>132</v>
      </c>
      <c r="C225" s="310" t="s">
        <v>132</v>
      </c>
      <c r="D225" s="310" t="s">
        <v>132</v>
      </c>
      <c r="E225" s="310" t="s">
        <v>132</v>
      </c>
      <c r="F225" s="310" t="s">
        <v>132</v>
      </c>
      <c r="G225" s="310" t="s">
        <v>132</v>
      </c>
      <c r="H225" s="310" t="s">
        <v>132</v>
      </c>
      <c r="I225" s="310" t="s">
        <v>132</v>
      </c>
      <c r="J225" s="310" t="s">
        <v>132</v>
      </c>
      <c r="K225" s="310" t="s">
        <v>132</v>
      </c>
      <c r="L225" s="310" t="s">
        <v>132</v>
      </c>
      <c r="M225" s="310" t="s">
        <v>132</v>
      </c>
      <c r="N225" s="310" t="s">
        <v>132</v>
      </c>
      <c r="O225" s="310" t="s">
        <v>132</v>
      </c>
      <c r="P225" s="310" t="s">
        <v>132</v>
      </c>
      <c r="Q225" s="310" t="s">
        <v>132</v>
      </c>
      <c r="R225" s="310" t="s">
        <v>132</v>
      </c>
      <c r="S225" s="310" t="s">
        <v>132</v>
      </c>
      <c r="T225" s="310" t="s">
        <v>132</v>
      </c>
      <c r="U225" s="310" t="s">
        <v>132</v>
      </c>
      <c r="V225" s="310" t="s">
        <v>132</v>
      </c>
      <c r="W225" s="310" t="s">
        <v>132</v>
      </c>
      <c r="X225" s="310" t="s">
        <v>132</v>
      </c>
      <c r="Y225" s="310" t="s">
        <v>132</v>
      </c>
      <c r="Z225" s="310" t="s">
        <v>132</v>
      </c>
      <c r="AA225" s="204">
        <f>'FY 2016 by Agency'!AA229*Inflator!$E$11</f>
        <v>0</v>
      </c>
      <c r="AB225" s="206" t="e">
        <f t="shared" si="249"/>
        <v>#VALUE!</v>
      </c>
      <c r="AC225" s="304" t="e">
        <f t="shared" si="250"/>
        <v>#VALUE!</v>
      </c>
      <c r="AD225" s="204" t="e">
        <f>'FY 2016 by Agency'!AD229*Inflator!#REF!</f>
        <v>#REF!</v>
      </c>
      <c r="AE225" s="204">
        <f>'FY 2016 by Agency'!AE229*Inflator!$B$8</f>
        <v>0</v>
      </c>
      <c r="AF225" s="204">
        <f>'FY 2016 by Agency'!AF229*Inflator!$E$12</f>
        <v>38535.845864661656</v>
      </c>
      <c r="AG225" s="204">
        <f t="shared" si="251"/>
        <v>38535.845864661656</v>
      </c>
      <c r="AH225" s="304" t="e">
        <f t="shared" si="252"/>
        <v>#DIV/0!</v>
      </c>
      <c r="AI225" s="204">
        <f>'FY 2016 by Agency'!AI229*Inflator!$B$8</f>
        <v>0</v>
      </c>
      <c r="AJ225" s="204">
        <f>'FY 2016 by Agency'!AJ229*Inflator!$B$8</f>
        <v>0</v>
      </c>
      <c r="AK225" s="204">
        <f>'FY 2016 by Agency'!AK229</f>
        <v>0</v>
      </c>
      <c r="AL225" s="204">
        <f>'FY 2016 by Agency'!AL229</f>
        <v>0</v>
      </c>
      <c r="AM225" s="204">
        <f>'FY 2016 by Agency'!AM229</f>
        <v>0</v>
      </c>
      <c r="AN225" s="204">
        <f>'FY 2016 by Agency'!AN229</f>
        <v>0</v>
      </c>
      <c r="AO225" s="204">
        <f>'FY 2016 by Agency'!AO229</f>
        <v>67904</v>
      </c>
      <c r="AP225" s="204">
        <f>'FY 2016 by Agency'!AP229</f>
        <v>0</v>
      </c>
      <c r="AQ225" s="204">
        <f>'FY 2016 by Agency'!AQ229</f>
        <v>0</v>
      </c>
      <c r="AR225" s="204">
        <f>'FY 2016 by Agency'!AR229</f>
        <v>0</v>
      </c>
      <c r="AS225" s="204">
        <f>'FY 2016 by Agency'!AS229</f>
        <v>58253.516000000003</v>
      </c>
      <c r="AT225" s="204" t="e">
        <f t="shared" si="253"/>
        <v>#REF!</v>
      </c>
      <c r="AU225" s="304" t="e">
        <f t="shared" si="254"/>
        <v>#REF!</v>
      </c>
      <c r="AV225" s="204">
        <f t="shared" si="255"/>
        <v>19717.670135338347</v>
      </c>
      <c r="AW225" s="304">
        <f t="shared" si="256"/>
        <v>0.51167087922727938</v>
      </c>
      <c r="AX225" s="440" t="s">
        <v>482</v>
      </c>
      <c r="AY225" s="200">
        <v>61304</v>
      </c>
      <c r="AZ225" s="207">
        <f t="shared" si="257"/>
        <v>-6600</v>
      </c>
      <c r="BA225" s="207">
        <f t="shared" si="258"/>
        <v>13117.670135338347</v>
      </c>
      <c r="BB225" s="207">
        <f t="shared" si="259"/>
        <v>51653.516000000003</v>
      </c>
      <c r="BC225" s="304">
        <f t="shared" si="260"/>
        <v>0.34040176985884152</v>
      </c>
      <c r="BD225" s="207"/>
      <c r="BE225" s="207"/>
      <c r="BI225" s="319">
        <v>61304</v>
      </c>
      <c r="BJ225" s="200">
        <f t="shared" si="267"/>
        <v>0</v>
      </c>
      <c r="BK225" s="200">
        <f t="shared" si="268"/>
        <v>61304</v>
      </c>
      <c r="BL225" s="307">
        <f>'FY 2016 by Agency'!BB229*Inflator!$E$13</f>
        <v>64048.647588648157</v>
      </c>
      <c r="BM225" s="204">
        <f t="shared" si="269"/>
        <v>25512.8017239865</v>
      </c>
      <c r="BN225" s="199">
        <f t="shared" si="261"/>
        <v>0.66205376193344134</v>
      </c>
      <c r="BO225" s="204">
        <f>'FY 2016 by Agency'!AX229*Inflator!$E$13</f>
        <v>67402.597497711322</v>
      </c>
      <c r="BP225" s="204">
        <f t="shared" si="281"/>
        <v>28866.751633049666</v>
      </c>
      <c r="BQ225" s="199">
        <f t="shared" si="282"/>
        <v>0.74908830947762339</v>
      </c>
      <c r="BR225" s="204">
        <f>'FY 2016 by Agency'!BE229*Inflator!$E$14</f>
        <v>58504.732419547072</v>
      </c>
      <c r="BS225" s="204">
        <f t="shared" si="283"/>
        <v>-8897.86507816425</v>
      </c>
      <c r="BT225" s="199">
        <f t="shared" si="284"/>
        <v>-0.13201071484621019</v>
      </c>
      <c r="BU225" s="315">
        <f>'FY 2016 by Agency'!BL229*Inflator!$E$14</f>
        <v>58504.732419547072</v>
      </c>
      <c r="BV225" s="204">
        <f t="shared" si="270"/>
        <v>-5543.9151691010848</v>
      </c>
      <c r="BW225" s="206">
        <v>71461</v>
      </c>
      <c r="BX225" s="206">
        <f>'FY 2016 by Agency'!BW229*Inflator!E15</f>
        <v>75483.430958663143</v>
      </c>
      <c r="BY225" s="204">
        <f>'FY 2016 by Agency'!BZ229*Inflator!$E$15</f>
        <v>0</v>
      </c>
      <c r="BZ225" s="206">
        <f t="shared" si="275"/>
        <v>12956.267580452928</v>
      </c>
      <c r="CA225" s="199">
        <f t="shared" si="276"/>
        <v>0.22145674451668967</v>
      </c>
      <c r="CB225" s="308">
        <f>'FY 2016 by Agency'!CF229*Inflator!$E$16</f>
        <v>13137.476465492347</v>
      </c>
      <c r="CC225" s="206">
        <f t="shared" si="262"/>
        <v>13137.476465492347</v>
      </c>
      <c r="CD225" s="304" t="e">
        <f t="shared" si="263"/>
        <v>#DIV/0!</v>
      </c>
      <c r="CE225" s="206">
        <f>'FY 2016 by Agency'!CK229*Inflator!$E$17</f>
        <v>10114.741003117031</v>
      </c>
      <c r="CF225" s="206">
        <f t="shared" si="271"/>
        <v>-3022.7354623753163</v>
      </c>
      <c r="CG225" s="562">
        <f t="shared" si="272"/>
        <v>-0.230084938330052</v>
      </c>
      <c r="CH225" s="206">
        <f>'FY 2016 by Agency'!CN229*Inflator!$E$18</f>
        <v>0</v>
      </c>
      <c r="CI225" s="753">
        <f t="shared" si="273"/>
        <v>-10114.741003117031</v>
      </c>
      <c r="CJ225" s="304">
        <f t="shared" si="274"/>
        <v>-1</v>
      </c>
    </row>
    <row r="226" spans="1:88" s="317" customFormat="1" ht="18" customHeight="1" x14ac:dyDescent="0.25">
      <c r="A226" s="317" t="s">
        <v>328</v>
      </c>
      <c r="B226" s="310" t="s">
        <v>132</v>
      </c>
      <c r="C226" s="310" t="s">
        <v>132</v>
      </c>
      <c r="D226" s="310" t="s">
        <v>132</v>
      </c>
      <c r="E226" s="310" t="s">
        <v>132</v>
      </c>
      <c r="F226" s="310" t="s">
        <v>132</v>
      </c>
      <c r="G226" s="310" t="s">
        <v>132</v>
      </c>
      <c r="H226" s="310" t="s">
        <v>132</v>
      </c>
      <c r="I226" s="310" t="s">
        <v>132</v>
      </c>
      <c r="J226" s="310" t="s">
        <v>132</v>
      </c>
      <c r="K226" s="310" t="s">
        <v>132</v>
      </c>
      <c r="L226" s="310" t="s">
        <v>132</v>
      </c>
      <c r="M226" s="310" t="s">
        <v>132</v>
      </c>
      <c r="N226" s="310" t="s">
        <v>132</v>
      </c>
      <c r="O226" s="310" t="s">
        <v>132</v>
      </c>
      <c r="P226" s="310" t="s">
        <v>132</v>
      </c>
      <c r="Q226" s="310" t="s">
        <v>132</v>
      </c>
      <c r="R226" s="310" t="s">
        <v>132</v>
      </c>
      <c r="S226" s="310" t="s">
        <v>132</v>
      </c>
      <c r="T226" s="310" t="s">
        <v>132</v>
      </c>
      <c r="U226" s="310" t="s">
        <v>132</v>
      </c>
      <c r="V226" s="310" t="s">
        <v>132</v>
      </c>
      <c r="W226" s="310" t="s">
        <v>132</v>
      </c>
      <c r="X226" s="310" t="s">
        <v>132</v>
      </c>
      <c r="Y226" s="310" t="s">
        <v>132</v>
      </c>
      <c r="Z226" s="310" t="s">
        <v>132</v>
      </c>
      <c r="AA226" s="204">
        <f>'FY 2016 by Agency'!AA230*Inflator!$E$11</f>
        <v>0</v>
      </c>
      <c r="AB226" s="206" t="e">
        <f t="shared" si="249"/>
        <v>#VALUE!</v>
      </c>
      <c r="AC226" s="304" t="e">
        <f t="shared" si="250"/>
        <v>#VALUE!</v>
      </c>
      <c r="AD226" s="204" t="e">
        <f>'FY 2016 by Agency'!AD230*Inflator!#REF!</f>
        <v>#REF!</v>
      </c>
      <c r="AE226" s="204">
        <f>'FY 2016 by Agency'!AE230*Inflator!$B$8</f>
        <v>0</v>
      </c>
      <c r="AF226" s="204">
        <f>'FY 2016 by Agency'!AF230*Inflator!$E$12</f>
        <v>28093.692669172935</v>
      </c>
      <c r="AG226" s="204">
        <f t="shared" si="251"/>
        <v>28093.692669172935</v>
      </c>
      <c r="AH226" s="304" t="e">
        <f t="shared" si="252"/>
        <v>#DIV/0!</v>
      </c>
      <c r="AI226" s="204">
        <f>'FY 2016 by Agency'!AI230*Inflator!$B$8</f>
        <v>0</v>
      </c>
      <c r="AJ226" s="204">
        <f>'FY 2016 by Agency'!AJ230*Inflator!$B$8</f>
        <v>0</v>
      </c>
      <c r="AK226" s="204">
        <f>'FY 2016 by Agency'!AK230</f>
        <v>0</v>
      </c>
      <c r="AL226" s="204">
        <f>'FY 2016 by Agency'!AL230</f>
        <v>0</v>
      </c>
      <c r="AM226" s="204">
        <f>'FY 2016 by Agency'!AM230</f>
        <v>0</v>
      </c>
      <c r="AN226" s="204">
        <f>'FY 2016 by Agency'!AN230</f>
        <v>0</v>
      </c>
      <c r="AO226" s="204">
        <f>'FY 2016 by Agency'!AO230</f>
        <v>37678</v>
      </c>
      <c r="AP226" s="204">
        <f>'FY 2016 by Agency'!AP230</f>
        <v>0</v>
      </c>
      <c r="AQ226" s="204">
        <f>'FY 2016 by Agency'!AQ230</f>
        <v>0</v>
      </c>
      <c r="AR226" s="204">
        <f>'FY 2016 by Agency'!AR230</f>
        <v>0</v>
      </c>
      <c r="AS226" s="204">
        <f>'FY 2016 by Agency'!AS230</f>
        <v>30001.348720000002</v>
      </c>
      <c r="AT226" s="204" t="e">
        <f t="shared" si="253"/>
        <v>#REF!</v>
      </c>
      <c r="AU226" s="304" t="e">
        <f t="shared" si="254"/>
        <v>#REF!</v>
      </c>
      <c r="AV226" s="204">
        <f t="shared" si="255"/>
        <v>1907.6560508270668</v>
      </c>
      <c r="AW226" s="304">
        <f t="shared" si="256"/>
        <v>6.7903357287037169E-2</v>
      </c>
      <c r="AX226" s="440" t="s">
        <v>483</v>
      </c>
      <c r="AY226" s="200">
        <v>37678</v>
      </c>
      <c r="AZ226" s="207">
        <f t="shared" si="257"/>
        <v>0</v>
      </c>
      <c r="BA226" s="207">
        <f t="shared" si="258"/>
        <v>1907.6560508270668</v>
      </c>
      <c r="BB226" s="207">
        <f t="shared" si="259"/>
        <v>30001.348720000002</v>
      </c>
      <c r="BC226" s="304">
        <f t="shared" si="260"/>
        <v>6.7903357287037114E-2</v>
      </c>
      <c r="BD226" s="207"/>
      <c r="BE226" s="207"/>
      <c r="BI226" s="319">
        <v>37678</v>
      </c>
      <c r="BJ226" s="200">
        <f t="shared" si="267"/>
        <v>0</v>
      </c>
      <c r="BK226" s="200">
        <f t="shared" si="268"/>
        <v>37678</v>
      </c>
      <c r="BL226" s="307">
        <f>'FY 2016 by Agency'!BB230*Inflator!$E$13</f>
        <v>32985.919877375651</v>
      </c>
      <c r="BM226" s="204">
        <f t="shared" si="269"/>
        <v>4892.2272082027157</v>
      </c>
      <c r="BN226" s="199">
        <f t="shared" si="261"/>
        <v>0.17413969981849098</v>
      </c>
      <c r="BO226" s="204">
        <f>'FY 2016 by Agency'!AX230*Inflator!$E$13</f>
        <v>41426.253890753738</v>
      </c>
      <c r="BP226" s="204">
        <f t="shared" si="281"/>
        <v>13332.561221580803</v>
      </c>
      <c r="BQ226" s="199">
        <f t="shared" si="282"/>
        <v>0.47457489403700048</v>
      </c>
      <c r="BR226" s="204">
        <f>'FY 2016 by Agency'!BE230*Inflator!$E$14</f>
        <v>42334.176400476754</v>
      </c>
      <c r="BS226" s="204">
        <f t="shared" si="283"/>
        <v>907.92250972301554</v>
      </c>
      <c r="BT226" s="199">
        <f t="shared" si="284"/>
        <v>2.1916596951231021E-2</v>
      </c>
      <c r="BU226" s="315">
        <f>'FY 2016 by Agency'!BL230*Inflator!$E$14</f>
        <v>42334.176400476754</v>
      </c>
      <c r="BV226" s="204">
        <f t="shared" si="270"/>
        <v>9348.2565231011031</v>
      </c>
      <c r="BW226" s="206">
        <v>36472</v>
      </c>
      <c r="BX226" s="206">
        <f>'FY 2016 by Agency'!BW230*Inflator!E15</f>
        <v>38524.953386103778</v>
      </c>
      <c r="BY226" s="204">
        <f>'FY 2016 by Agency'!BZ230*Inflator!$E$15</f>
        <v>37087.344766930517</v>
      </c>
      <c r="BZ226" s="206">
        <f t="shared" si="275"/>
        <v>-5862.1764004767538</v>
      </c>
      <c r="CA226" s="199">
        <f t="shared" si="276"/>
        <v>-0.13847385018244351</v>
      </c>
      <c r="CB226" s="308">
        <f>'FY 2016 by Agency'!CF230*Inflator!$E$16</f>
        <v>43165.250938492631</v>
      </c>
      <c r="CC226" s="206">
        <f t="shared" si="262"/>
        <v>6077.9061715621137</v>
      </c>
      <c r="CD226" s="304">
        <f t="shared" si="263"/>
        <v>0.1638808658251957</v>
      </c>
      <c r="CE226" s="206">
        <f>'FY 2016 by Agency'!CK230*Inflator!$E$17</f>
        <v>38475.221025786348</v>
      </c>
      <c r="CF226" s="206">
        <f t="shared" si="271"/>
        <v>-4690.0299127062826</v>
      </c>
      <c r="CG226" s="562">
        <f t="shared" si="272"/>
        <v>-0.10865290507378811</v>
      </c>
      <c r="CH226" s="206">
        <f>'FY 2016 by Agency'!CN230*Inflator!$E$18</f>
        <v>22500</v>
      </c>
      <c r="CI226" s="753">
        <f t="shared" si="273"/>
        <v>-15975.221025786348</v>
      </c>
      <c r="CJ226" s="304">
        <f t="shared" si="274"/>
        <v>-0.415208037793458</v>
      </c>
    </row>
    <row r="227" spans="1:88" s="317" customFormat="1" ht="18" customHeight="1" x14ac:dyDescent="0.25">
      <c r="A227" s="317" t="s">
        <v>329</v>
      </c>
      <c r="B227" s="310" t="s">
        <v>132</v>
      </c>
      <c r="C227" s="310" t="s">
        <v>132</v>
      </c>
      <c r="D227" s="310" t="s">
        <v>132</v>
      </c>
      <c r="E227" s="310" t="s">
        <v>132</v>
      </c>
      <c r="F227" s="310" t="s">
        <v>132</v>
      </c>
      <c r="G227" s="310" t="s">
        <v>132</v>
      </c>
      <c r="H227" s="310" t="s">
        <v>132</v>
      </c>
      <c r="I227" s="310" t="s">
        <v>132</v>
      </c>
      <c r="J227" s="310" t="s">
        <v>132</v>
      </c>
      <c r="K227" s="310" t="s">
        <v>132</v>
      </c>
      <c r="L227" s="310" t="s">
        <v>132</v>
      </c>
      <c r="M227" s="310" t="s">
        <v>132</v>
      </c>
      <c r="N227" s="310" t="s">
        <v>132</v>
      </c>
      <c r="O227" s="310" t="s">
        <v>132</v>
      </c>
      <c r="P227" s="310" t="s">
        <v>132</v>
      </c>
      <c r="Q227" s="310" t="s">
        <v>132</v>
      </c>
      <c r="R227" s="310" t="s">
        <v>132</v>
      </c>
      <c r="S227" s="310" t="s">
        <v>132</v>
      </c>
      <c r="T227" s="310" t="s">
        <v>132</v>
      </c>
      <c r="U227" s="310" t="s">
        <v>132</v>
      </c>
      <c r="V227" s="310" t="s">
        <v>132</v>
      </c>
      <c r="W227" s="310" t="s">
        <v>132</v>
      </c>
      <c r="X227" s="310" t="s">
        <v>132</v>
      </c>
      <c r="Y227" s="310" t="s">
        <v>132</v>
      </c>
      <c r="Z227" s="310" t="s">
        <v>132</v>
      </c>
      <c r="AA227" s="204">
        <f>'FY 2016 by Agency'!AA231*Inflator!$E$11</f>
        <v>0</v>
      </c>
      <c r="AB227" s="206" t="e">
        <f t="shared" si="249"/>
        <v>#VALUE!</v>
      </c>
      <c r="AC227" s="304" t="e">
        <f t="shared" si="250"/>
        <v>#VALUE!</v>
      </c>
      <c r="AD227" s="204" t="e">
        <f>'FY 2016 by Agency'!AD231*Inflator!#REF!</f>
        <v>#REF!</v>
      </c>
      <c r="AE227" s="204">
        <f>'FY 2016 by Agency'!AE231*Inflator!$B$8</f>
        <v>0</v>
      </c>
      <c r="AF227" s="204">
        <f>'FY 2016 by Agency'!AF231*Inflator!$E$12</f>
        <v>105035.57706766919</v>
      </c>
      <c r="AG227" s="204">
        <f t="shared" si="251"/>
        <v>105035.57706766919</v>
      </c>
      <c r="AH227" s="304" t="e">
        <f t="shared" si="252"/>
        <v>#DIV/0!</v>
      </c>
      <c r="AI227" s="204">
        <f>'FY 2016 by Agency'!AI231*Inflator!$B$8</f>
        <v>0</v>
      </c>
      <c r="AJ227" s="204">
        <f>'FY 2016 by Agency'!AJ231*Inflator!$B$8</f>
        <v>0</v>
      </c>
      <c r="AK227" s="204">
        <f>'FY 2016 by Agency'!AK231</f>
        <v>0</v>
      </c>
      <c r="AL227" s="204">
        <f>'FY 2016 by Agency'!AL231</f>
        <v>0</v>
      </c>
      <c r="AM227" s="204">
        <f>'FY 2016 by Agency'!AM231</f>
        <v>0</v>
      </c>
      <c r="AN227" s="204">
        <f>'FY 2016 by Agency'!AN231</f>
        <v>0</v>
      </c>
      <c r="AO227" s="204">
        <f>'FY 2016 by Agency'!AO231</f>
        <v>101696</v>
      </c>
      <c r="AP227" s="204">
        <f>'FY 2016 by Agency'!AP231</f>
        <v>0</v>
      </c>
      <c r="AQ227" s="204">
        <f>'FY 2016 by Agency'!AQ231</f>
        <v>0</v>
      </c>
      <c r="AR227" s="204">
        <f>'FY 2016 by Agency'!AR231</f>
        <v>0</v>
      </c>
      <c r="AS227" s="204">
        <f>'FY 2016 by Agency'!AS231</f>
        <v>96844</v>
      </c>
      <c r="AT227" s="204" t="e">
        <f t="shared" si="253"/>
        <v>#REF!</v>
      </c>
      <c r="AU227" s="304" t="e">
        <f t="shared" si="254"/>
        <v>#REF!</v>
      </c>
      <c r="AV227" s="204">
        <f t="shared" si="255"/>
        <v>-8191.57706766919</v>
      </c>
      <c r="AW227" s="304">
        <f t="shared" si="256"/>
        <v>-7.7988594877636222E-2</v>
      </c>
      <c r="AX227" s="440" t="s">
        <v>484</v>
      </c>
      <c r="AY227" s="200">
        <v>101696</v>
      </c>
      <c r="AZ227" s="207">
        <f t="shared" si="257"/>
        <v>0</v>
      </c>
      <c r="BA227" s="207">
        <f t="shared" si="258"/>
        <v>-8191.57706766919</v>
      </c>
      <c r="BB227" s="207">
        <f t="shared" si="259"/>
        <v>96844</v>
      </c>
      <c r="BC227" s="304">
        <f t="shared" si="260"/>
        <v>-7.7988594877636208E-2</v>
      </c>
      <c r="BD227" s="207"/>
      <c r="BE227" s="207"/>
      <c r="BI227" s="319">
        <v>101696</v>
      </c>
      <c r="BJ227" s="200">
        <f t="shared" si="267"/>
        <v>0</v>
      </c>
      <c r="BK227" s="200">
        <f t="shared" si="268"/>
        <v>101696</v>
      </c>
      <c r="BL227" s="307">
        <f>'FY 2016 by Agency'!BB231*Inflator!$E$13</f>
        <v>106478.16051266402</v>
      </c>
      <c r="BM227" s="204">
        <f t="shared" si="269"/>
        <v>1442.5834449948306</v>
      </c>
      <c r="BN227" s="199">
        <f t="shared" si="261"/>
        <v>1.3734236391784147E-2</v>
      </c>
      <c r="BO227" s="204">
        <f>'FY 2016 by Agency'!AX231*Inflator!$E$13</f>
        <v>111812.84345437901</v>
      </c>
      <c r="BP227" s="204">
        <f t="shared" si="281"/>
        <v>6777.2663867098163</v>
      </c>
      <c r="BQ227" s="199">
        <f t="shared" si="282"/>
        <v>6.452353170148778E-2</v>
      </c>
      <c r="BR227" s="204">
        <f>'FY 2016 by Agency'!BE231*Inflator!$E$14</f>
        <v>108533.39660309892</v>
      </c>
      <c r="BS227" s="204">
        <f t="shared" si="283"/>
        <v>-3279.4468512800813</v>
      </c>
      <c r="BT227" s="199">
        <f t="shared" si="284"/>
        <v>-2.9329786721845916E-2</v>
      </c>
      <c r="BU227" s="315">
        <f>'FY 2016 by Agency'!BL231*Inflator!$E$14</f>
        <v>108533.39660309892</v>
      </c>
      <c r="BV227" s="204">
        <f t="shared" si="270"/>
        <v>2055.2360904349043</v>
      </c>
      <c r="BW227" s="206">
        <v>103729</v>
      </c>
      <c r="BX227" s="206">
        <f>'FY 2016 by Agency'!BW231*Inflator!E15</f>
        <v>109567.74758135443</v>
      </c>
      <c r="BY227" s="204">
        <f>'FY 2016 by Agency'!BZ231*Inflator!$E$15</f>
        <v>113066.17502198767</v>
      </c>
      <c r="BZ227" s="206">
        <f t="shared" si="275"/>
        <v>-4804.396603098925</v>
      </c>
      <c r="CA227" s="199">
        <f t="shared" si="276"/>
        <v>-4.426652766307828E-2</v>
      </c>
      <c r="CB227" s="308">
        <f>'FY 2016 by Agency'!CF231*Inflator!$E$16</f>
        <v>113095.49610164596</v>
      </c>
      <c r="CC227" s="206">
        <f t="shared" si="262"/>
        <v>29.32107965828618</v>
      </c>
      <c r="CD227" s="304">
        <f t="shared" si="263"/>
        <v>2.5932671422363221E-4</v>
      </c>
      <c r="CE227" s="206">
        <f>'FY 2016 by Agency'!CK231*Inflator!$E$17</f>
        <v>118145.52479455937</v>
      </c>
      <c r="CF227" s="206">
        <f t="shared" si="271"/>
        <v>5050.0286929134163</v>
      </c>
      <c r="CG227" s="562">
        <f t="shared" si="272"/>
        <v>4.4652783417428413E-2</v>
      </c>
      <c r="CH227" s="206">
        <f>'FY 2016 by Agency'!CN231*Inflator!$E$18</f>
        <v>120054</v>
      </c>
      <c r="CI227" s="753">
        <f t="shared" si="273"/>
        <v>1908.4752054406272</v>
      </c>
      <c r="CJ227" s="304">
        <f t="shared" si="274"/>
        <v>1.6153597089345807E-2</v>
      </c>
    </row>
    <row r="228" spans="1:88" s="317" customFormat="1" ht="18" customHeight="1" x14ac:dyDescent="0.25">
      <c r="A228" s="68" t="s">
        <v>330</v>
      </c>
      <c r="B228" s="310" t="s">
        <v>132</v>
      </c>
      <c r="C228" s="310" t="s">
        <v>132</v>
      </c>
      <c r="D228" s="310" t="s">
        <v>132</v>
      </c>
      <c r="E228" s="310" t="s">
        <v>132</v>
      </c>
      <c r="F228" s="310" t="s">
        <v>132</v>
      </c>
      <c r="G228" s="310" t="s">
        <v>132</v>
      </c>
      <c r="H228" s="310" t="s">
        <v>132</v>
      </c>
      <c r="I228" s="310" t="s">
        <v>132</v>
      </c>
      <c r="J228" s="310" t="s">
        <v>132</v>
      </c>
      <c r="K228" s="310" t="s">
        <v>132</v>
      </c>
      <c r="L228" s="310" t="s">
        <v>132</v>
      </c>
      <c r="M228" s="310" t="s">
        <v>132</v>
      </c>
      <c r="N228" s="310" t="s">
        <v>132</v>
      </c>
      <c r="O228" s="310" t="s">
        <v>132</v>
      </c>
      <c r="P228" s="310" t="s">
        <v>132</v>
      </c>
      <c r="Q228" s="310" t="s">
        <v>132</v>
      </c>
      <c r="R228" s="310" t="s">
        <v>132</v>
      </c>
      <c r="S228" s="310" t="s">
        <v>132</v>
      </c>
      <c r="T228" s="310" t="s">
        <v>132</v>
      </c>
      <c r="U228" s="310" t="s">
        <v>132</v>
      </c>
      <c r="V228" s="310" t="s">
        <v>132</v>
      </c>
      <c r="W228" s="310" t="s">
        <v>132</v>
      </c>
      <c r="X228" s="310" t="s">
        <v>132</v>
      </c>
      <c r="Y228" s="310" t="s">
        <v>132</v>
      </c>
      <c r="Z228" s="310" t="s">
        <v>132</v>
      </c>
      <c r="AA228" s="204">
        <f>'FY 2016 by Agency'!AA232*Inflator!$E$11</f>
        <v>0</v>
      </c>
      <c r="AB228" s="206" t="e">
        <f t="shared" si="249"/>
        <v>#VALUE!</v>
      </c>
      <c r="AC228" s="304" t="e">
        <f t="shared" si="250"/>
        <v>#VALUE!</v>
      </c>
      <c r="AD228" s="204" t="e">
        <f>'FY 2016 by Agency'!AD232*Inflator!#REF!</f>
        <v>#REF!</v>
      </c>
      <c r="AE228" s="204">
        <f>'FY 2016 by Agency'!AE232*Inflator!$B$8</f>
        <v>0</v>
      </c>
      <c r="AF228" s="204">
        <f>'FY 2016 by Agency'!AF232*Inflator!$E$12</f>
        <v>0</v>
      </c>
      <c r="AG228" s="204">
        <f t="shared" si="251"/>
        <v>0</v>
      </c>
      <c r="AH228" s="304" t="e">
        <f t="shared" si="252"/>
        <v>#DIV/0!</v>
      </c>
      <c r="AI228" s="204">
        <f>'FY 2016 by Agency'!AI232*Inflator!$B$8</f>
        <v>0</v>
      </c>
      <c r="AJ228" s="204">
        <f>'FY 2016 by Agency'!AJ232*Inflator!$B$8</f>
        <v>0</v>
      </c>
      <c r="AK228" s="204">
        <f>'FY 2016 by Agency'!AK232</f>
        <v>0</v>
      </c>
      <c r="AL228" s="204">
        <f>'FY 2016 by Agency'!AL232</f>
        <v>0</v>
      </c>
      <c r="AM228" s="204">
        <f>'FY 2016 by Agency'!AM232</f>
        <v>0</v>
      </c>
      <c r="AN228" s="204">
        <f>'FY 2016 by Agency'!AN232</f>
        <v>0</v>
      </c>
      <c r="AO228" s="204">
        <f>'FY 2016 by Agency'!AO232</f>
        <v>0</v>
      </c>
      <c r="AP228" s="204">
        <f>'FY 2016 by Agency'!AP232</f>
        <v>0</v>
      </c>
      <c r="AQ228" s="204">
        <f>'FY 2016 by Agency'!AQ232</f>
        <v>0</v>
      </c>
      <c r="AR228" s="204">
        <f>'FY 2016 by Agency'!AR232</f>
        <v>0</v>
      </c>
      <c r="AS228" s="204">
        <f>'FY 2016 by Agency'!AS232</f>
        <v>782.93320000000006</v>
      </c>
      <c r="AT228" s="204" t="e">
        <f t="shared" si="253"/>
        <v>#REF!</v>
      </c>
      <c r="AU228" s="304" t="e">
        <f t="shared" si="254"/>
        <v>#REF!</v>
      </c>
      <c r="AV228" s="204">
        <f t="shared" si="255"/>
        <v>782.93320000000006</v>
      </c>
      <c r="AW228" s="304" t="e">
        <f t="shared" si="256"/>
        <v>#DIV/0!</v>
      </c>
      <c r="AX228" s="316"/>
      <c r="AY228" s="318"/>
      <c r="AZ228" s="318">
        <f>SUM(AZ206:AZ227)</f>
        <v>-8600</v>
      </c>
      <c r="BA228" s="207">
        <f t="shared" si="258"/>
        <v>-7817.0667999999996</v>
      </c>
      <c r="BB228" s="207">
        <f t="shared" si="259"/>
        <v>-7817.0667999999996</v>
      </c>
      <c r="BC228" s="304" t="e">
        <f t="shared" si="260"/>
        <v>#DIV/0!</v>
      </c>
      <c r="BD228" s="322"/>
      <c r="BE228" s="322"/>
      <c r="BI228" s="318"/>
      <c r="BJ228" s="200">
        <f t="shared" si="267"/>
        <v>0</v>
      </c>
      <c r="BK228" s="200">
        <f t="shared" si="268"/>
        <v>0</v>
      </c>
      <c r="BL228" s="307">
        <f>'FY 2016 by Agency'!BB232*Inflator!$E$13</f>
        <v>860.82035996338118</v>
      </c>
      <c r="BM228" s="204">
        <f t="shared" si="269"/>
        <v>860.82035996338118</v>
      </c>
      <c r="BN228" s="199" t="e">
        <f t="shared" si="261"/>
        <v>#DIV/0!</v>
      </c>
      <c r="BO228" s="204">
        <f>'FY 2016 by Agency'!AX232*Inflator!$E$13</f>
        <v>0</v>
      </c>
      <c r="BP228" s="204">
        <f t="shared" si="281"/>
        <v>0</v>
      </c>
      <c r="BQ228" s="199" t="e">
        <f t="shared" si="282"/>
        <v>#DIV/0!</v>
      </c>
      <c r="BR228" s="204">
        <f>'FY 2016 by Agency'!BE232*Inflator!$E$14</f>
        <v>0</v>
      </c>
      <c r="BS228" s="204">
        <f t="shared" si="283"/>
        <v>0</v>
      </c>
      <c r="BT228" s="199" t="e">
        <f t="shared" si="284"/>
        <v>#DIV/0!</v>
      </c>
      <c r="BU228" s="315">
        <f>'FY 2016 by Agency'!BL232*Inflator!$E$14</f>
        <v>0</v>
      </c>
      <c r="BV228" s="204">
        <f t="shared" si="270"/>
        <v>-860.82035996338118</v>
      </c>
      <c r="BW228" s="413">
        <v>0</v>
      </c>
      <c r="BX228" s="206">
        <f>'FY 2016 by Agency'!BW232*Inflator!E15</f>
        <v>22685.907651715039</v>
      </c>
      <c r="BY228" s="204">
        <f>'FY 2016 by Agency'!BZ232*Inflator!$E$15</f>
        <v>0</v>
      </c>
      <c r="BZ228" s="206">
        <f t="shared" si="275"/>
        <v>0</v>
      </c>
      <c r="CA228" s="199" t="e">
        <f t="shared" si="276"/>
        <v>#DIV/0!</v>
      </c>
      <c r="CB228" s="308">
        <f>'FY 2016 by Agency'!CF232*Inflator!$E$16</f>
        <v>0</v>
      </c>
      <c r="CC228" s="206">
        <f t="shared" si="262"/>
        <v>0</v>
      </c>
      <c r="CD228" s="304" t="e">
        <f t="shared" si="263"/>
        <v>#DIV/0!</v>
      </c>
      <c r="CE228" s="206">
        <f>'FY 2016 by Agency'!CK232*Inflator!$E$17</f>
        <v>0</v>
      </c>
      <c r="CF228" s="206">
        <f t="shared" si="271"/>
        <v>0</v>
      </c>
      <c r="CG228" s="562" t="e">
        <f t="shared" si="272"/>
        <v>#DIV/0!</v>
      </c>
      <c r="CH228" s="206">
        <f>'FY 2016 by Agency'!CN232*Inflator!$E$18</f>
        <v>0</v>
      </c>
      <c r="CI228" s="753">
        <f t="shared" si="273"/>
        <v>0</v>
      </c>
      <c r="CJ228" s="304" t="e">
        <f t="shared" si="274"/>
        <v>#DIV/0!</v>
      </c>
    </row>
    <row r="229" spans="1:88" s="317" customFormat="1" ht="18" customHeight="1" x14ac:dyDescent="0.25">
      <c r="A229" s="68" t="s">
        <v>331</v>
      </c>
      <c r="B229" s="302" t="s">
        <v>132</v>
      </c>
      <c r="C229" s="302" t="s">
        <v>132</v>
      </c>
      <c r="D229" s="302" t="s">
        <v>132</v>
      </c>
      <c r="E229" s="302" t="s">
        <v>132</v>
      </c>
      <c r="F229" s="302" t="s">
        <v>132</v>
      </c>
      <c r="G229" s="302" t="s">
        <v>132</v>
      </c>
      <c r="H229" s="302" t="s">
        <v>132</v>
      </c>
      <c r="I229" s="302" t="s">
        <v>132</v>
      </c>
      <c r="J229" s="302" t="s">
        <v>132</v>
      </c>
      <c r="K229" s="302" t="s">
        <v>132</v>
      </c>
      <c r="L229" s="302" t="s">
        <v>132</v>
      </c>
      <c r="M229" s="302" t="s">
        <v>132</v>
      </c>
      <c r="N229" s="302" t="s">
        <v>132</v>
      </c>
      <c r="O229" s="302" t="s">
        <v>132</v>
      </c>
      <c r="P229" s="302" t="s">
        <v>132</v>
      </c>
      <c r="Q229" s="302" t="s">
        <v>132</v>
      </c>
      <c r="R229" s="302" t="s">
        <v>132</v>
      </c>
      <c r="S229" s="302" t="s">
        <v>132</v>
      </c>
      <c r="T229" s="302" t="s">
        <v>132</v>
      </c>
      <c r="U229" s="302" t="s">
        <v>132</v>
      </c>
      <c r="V229" s="302" t="s">
        <v>132</v>
      </c>
      <c r="W229" s="302" t="s">
        <v>132</v>
      </c>
      <c r="X229" s="302" t="s">
        <v>132</v>
      </c>
      <c r="Y229" s="302" t="s">
        <v>132</v>
      </c>
      <c r="Z229" s="302" t="s">
        <v>132</v>
      </c>
      <c r="AA229" s="315">
        <f>'FY 2016 by Agency'!AA233*Inflator!$E$11</f>
        <v>0</v>
      </c>
      <c r="AB229" s="413"/>
      <c r="AC229" s="316"/>
      <c r="AD229" s="315" t="e">
        <f>'FY 2016 by Agency'!AD233*Inflator!#REF!</f>
        <v>#REF!</v>
      </c>
      <c r="AE229" s="315"/>
      <c r="AF229" s="315"/>
      <c r="AG229" s="315"/>
      <c r="AH229" s="316"/>
      <c r="AI229" s="315"/>
      <c r="AJ229" s="315"/>
      <c r="AK229" s="315"/>
      <c r="AL229" s="315"/>
      <c r="AM229" s="315"/>
      <c r="AN229" s="315"/>
      <c r="AO229" s="315"/>
      <c r="AP229" s="315"/>
      <c r="AQ229" s="315"/>
      <c r="AR229" s="315"/>
      <c r="AS229" s="315"/>
      <c r="AT229" s="315"/>
      <c r="AU229" s="316"/>
      <c r="AV229" s="315"/>
      <c r="AW229" s="316"/>
      <c r="AX229" s="316"/>
      <c r="AY229" s="318"/>
      <c r="AZ229" s="318"/>
      <c r="BA229" s="322"/>
      <c r="BB229" s="322"/>
      <c r="BC229" s="316"/>
      <c r="BD229" s="322"/>
      <c r="BE229" s="322"/>
      <c r="BI229" s="318">
        <v>3000</v>
      </c>
      <c r="BJ229" s="318">
        <f t="shared" si="267"/>
        <v>3000</v>
      </c>
      <c r="BK229" s="318">
        <f t="shared" si="268"/>
        <v>3000</v>
      </c>
      <c r="BL229" s="432">
        <f>'FY 2016 by Agency'!BB233*Inflator!$E$13</f>
        <v>0</v>
      </c>
      <c r="BM229" s="315">
        <f t="shared" si="269"/>
        <v>0</v>
      </c>
      <c r="BN229" s="324" t="e">
        <f t="shared" si="261"/>
        <v>#DIV/0!</v>
      </c>
      <c r="BO229" s="315">
        <f>'FY 2016 by Agency'!AX233*Inflator!$E$13</f>
        <v>3298.44369850473</v>
      </c>
      <c r="BP229" s="315">
        <f t="shared" si="281"/>
        <v>3298.44369850473</v>
      </c>
      <c r="BQ229" s="324" t="e">
        <f t="shared" si="282"/>
        <v>#DIV/0!</v>
      </c>
      <c r="BR229" s="315">
        <f>'FY 2016 by Agency'!BE233*Inflator!$E$14</f>
        <v>0</v>
      </c>
      <c r="BS229" s="315">
        <f t="shared" si="283"/>
        <v>-3298.44369850473</v>
      </c>
      <c r="BT229" s="324">
        <f t="shared" si="284"/>
        <v>-1</v>
      </c>
      <c r="BU229" s="315">
        <f>'FY 2016 by Agency'!BL233*Inflator!$E$14</f>
        <v>0</v>
      </c>
      <c r="BV229" s="315">
        <f t="shared" si="270"/>
        <v>0</v>
      </c>
      <c r="BW229" s="413">
        <v>3000</v>
      </c>
      <c r="BX229" s="413">
        <f>'FY 2016 by Agency'!BW233*Inflator!E15</f>
        <v>3168.8654353562001</v>
      </c>
      <c r="BY229" s="315">
        <f>'FY 2016 by Agency'!BZ233*Inflator!$E$15</f>
        <v>0</v>
      </c>
      <c r="BZ229" s="413">
        <f t="shared" si="275"/>
        <v>3000</v>
      </c>
      <c r="CA229" s="324" t="e">
        <f t="shared" si="276"/>
        <v>#DIV/0!</v>
      </c>
      <c r="CB229" s="695">
        <f>'FY 2016 by Agency'!CF233*Inflator!$E$16</f>
        <v>0</v>
      </c>
      <c r="CC229" s="413">
        <f t="shared" si="262"/>
        <v>0</v>
      </c>
      <c r="CD229" s="316" t="e">
        <f t="shared" si="263"/>
        <v>#DIV/0!</v>
      </c>
      <c r="CE229" s="413">
        <f>'FY 2016 by Agency'!CK233*Inflator!$E$17</f>
        <v>3527.4482856333243</v>
      </c>
      <c r="CF229" s="413">
        <f t="shared" si="271"/>
        <v>3527.4482856333243</v>
      </c>
      <c r="CG229" s="679" t="e">
        <f t="shared" si="272"/>
        <v>#DIV/0!</v>
      </c>
      <c r="CH229" s="413">
        <f>'FY 2016 by Agency'!CN233*Inflator!$E$18</f>
        <v>0</v>
      </c>
      <c r="CI229" s="779">
        <f t="shared" si="273"/>
        <v>-3527.4482856333243</v>
      </c>
      <c r="CJ229" s="316">
        <f t="shared" si="274"/>
        <v>-1</v>
      </c>
    </row>
    <row r="230" spans="1:88" s="317" customFormat="1" ht="18" customHeight="1" thickBot="1" x14ac:dyDescent="0.3">
      <c r="A230" s="68" t="s">
        <v>491</v>
      </c>
      <c r="B230" s="302" t="s">
        <v>132</v>
      </c>
      <c r="C230" s="302" t="s">
        <v>132</v>
      </c>
      <c r="D230" s="302" t="s">
        <v>132</v>
      </c>
      <c r="E230" s="302" t="s">
        <v>132</v>
      </c>
      <c r="F230" s="302" t="s">
        <v>132</v>
      </c>
      <c r="G230" s="302" t="s">
        <v>132</v>
      </c>
      <c r="H230" s="302" t="s">
        <v>132</v>
      </c>
      <c r="I230" s="302" t="s">
        <v>132</v>
      </c>
      <c r="J230" s="302" t="s">
        <v>132</v>
      </c>
      <c r="K230" s="302" t="s">
        <v>132</v>
      </c>
      <c r="L230" s="302" t="s">
        <v>132</v>
      </c>
      <c r="M230" s="302" t="s">
        <v>132</v>
      </c>
      <c r="N230" s="302" t="s">
        <v>132</v>
      </c>
      <c r="O230" s="302" t="s">
        <v>132</v>
      </c>
      <c r="P230" s="302" t="s">
        <v>132</v>
      </c>
      <c r="Q230" s="302" t="s">
        <v>132</v>
      </c>
      <c r="R230" s="302" t="s">
        <v>132</v>
      </c>
      <c r="S230" s="302" t="s">
        <v>132</v>
      </c>
      <c r="T230" s="302" t="s">
        <v>132</v>
      </c>
      <c r="U230" s="302" t="s">
        <v>132</v>
      </c>
      <c r="V230" s="302" t="s">
        <v>132</v>
      </c>
      <c r="W230" s="302" t="s">
        <v>132</v>
      </c>
      <c r="X230" s="302" t="s">
        <v>132</v>
      </c>
      <c r="Y230" s="302" t="s">
        <v>132</v>
      </c>
      <c r="Z230" s="302" t="s">
        <v>132</v>
      </c>
      <c r="AA230" s="315">
        <f>'FY 2016 by Agency'!AA234*Inflator!$E$11</f>
        <v>0</v>
      </c>
      <c r="AB230" s="413"/>
      <c r="AC230" s="316"/>
      <c r="AD230" s="315" t="e">
        <f>'FY 2016 by Agency'!AD234*Inflator!#REF!</f>
        <v>#REF!</v>
      </c>
      <c r="AE230" s="315"/>
      <c r="AF230" s="315"/>
      <c r="AG230" s="315"/>
      <c r="AH230" s="316"/>
      <c r="AI230" s="315"/>
      <c r="AJ230" s="315"/>
      <c r="AK230" s="315"/>
      <c r="AL230" s="315"/>
      <c r="AM230" s="315"/>
      <c r="AN230" s="315"/>
      <c r="AO230" s="315"/>
      <c r="AP230" s="315"/>
      <c r="AQ230" s="315"/>
      <c r="AR230" s="315"/>
      <c r="AS230" s="315"/>
      <c r="AT230" s="315"/>
      <c r="AU230" s="316"/>
      <c r="AV230" s="315"/>
      <c r="AW230" s="316"/>
      <c r="AX230" s="316"/>
      <c r="AY230" s="318"/>
      <c r="AZ230" s="318"/>
      <c r="BA230" s="322"/>
      <c r="BB230" s="322"/>
      <c r="BC230" s="316"/>
      <c r="BD230" s="322"/>
      <c r="BE230" s="322"/>
      <c r="BI230" s="318">
        <v>3000</v>
      </c>
      <c r="BJ230" s="318">
        <f>BI230-AY230</f>
        <v>3000</v>
      </c>
      <c r="BK230" s="318">
        <f>BI230+AP230+AQ230</f>
        <v>3000</v>
      </c>
      <c r="BL230" s="432">
        <f>'FY 2016 by Agency'!BB234*Inflator!$E$13</f>
        <v>0</v>
      </c>
      <c r="BM230" s="315">
        <f>BL230-AF230</f>
        <v>0</v>
      </c>
      <c r="BN230" s="324" t="e">
        <f>BM230/AF230</f>
        <v>#DIV/0!</v>
      </c>
      <c r="BO230" s="315">
        <f>'FY 2016 by Agency'!AX234*Inflator!$E$13</f>
        <v>0</v>
      </c>
      <c r="BP230" s="315">
        <f>BO230-AF230</f>
        <v>0</v>
      </c>
      <c r="BQ230" s="324" t="e">
        <f>BP230/AF230</f>
        <v>#DIV/0!</v>
      </c>
      <c r="BR230" s="315">
        <f>'FY 2016 by Agency'!BE234*Inflator!$E$14</f>
        <v>0</v>
      </c>
      <c r="BS230" s="315">
        <f>BR230-BO230</f>
        <v>0</v>
      </c>
      <c r="BT230" s="324" t="e">
        <f>BS230/BO230</f>
        <v>#DIV/0!</v>
      </c>
      <c r="BU230" s="315">
        <f>'FY 2016 by Agency'!BL234*Inflator!$E$14</f>
        <v>0</v>
      </c>
      <c r="BV230" s="315">
        <f>BU230-BL230</f>
        <v>0</v>
      </c>
      <c r="BW230" s="413">
        <v>3000</v>
      </c>
      <c r="BX230" s="413">
        <f>'FY 2016 by Agency'!BW234*Inflator!E16</f>
        <v>0</v>
      </c>
      <c r="BY230" s="315">
        <f>'FY 2016 by Agency'!BZ234*Inflator!$E$15</f>
        <v>9399.9111697449425</v>
      </c>
      <c r="BZ230" s="413">
        <f>BW230-BR230</f>
        <v>3000</v>
      </c>
      <c r="CA230" s="324" t="e">
        <f>BZ230/BR230</f>
        <v>#DIV/0!</v>
      </c>
      <c r="CB230" s="308">
        <f>'FY 2016 by Agency'!CF234*Inflator!$E$16</f>
        <v>0</v>
      </c>
      <c r="CC230" s="413">
        <f>CB230-BY230</f>
        <v>-9399.9111697449425</v>
      </c>
      <c r="CD230" s="316">
        <f>CC230/BY230</f>
        <v>-1</v>
      </c>
      <c r="CE230" s="206">
        <f>'FY 2016 by Agency'!CK234*Inflator!$E$17</f>
        <v>0</v>
      </c>
      <c r="CF230" s="413">
        <f>CE230-CB230</f>
        <v>0</v>
      </c>
      <c r="CG230" s="679" t="e">
        <f>CF230/CB230</f>
        <v>#DIV/0!</v>
      </c>
      <c r="CH230" s="206">
        <f>'FY 2016 by Agency'!CN234*Inflator!$E$18</f>
        <v>0</v>
      </c>
      <c r="CI230" s="753">
        <f>CH230-CE230</f>
        <v>0</v>
      </c>
      <c r="CJ230" s="304" t="e">
        <f>CI230/CE230</f>
        <v>#DIV/0!</v>
      </c>
    </row>
    <row r="231" spans="1:88" s="335" customFormat="1" ht="18" customHeight="1" x14ac:dyDescent="0.25">
      <c r="A231" s="335" t="s">
        <v>333</v>
      </c>
      <c r="B231" s="336">
        <f>'FY 2016 by Agency'!B235*Inflator!$E$2</f>
        <v>567103.293062201</v>
      </c>
      <c r="C231" s="336">
        <f>'FY 2016 by Agency'!C235*Inflator!$E$3</f>
        <v>378775.81646058738</v>
      </c>
      <c r="D231" s="336">
        <f t="shared" si="277"/>
        <v>-188327.47660161363</v>
      </c>
      <c r="E231" s="337">
        <f t="shared" ref="E231:E253" si="286">(C231-B231)/B231</f>
        <v>-0.33208672724275207</v>
      </c>
      <c r="F231" s="338">
        <f>'FY 2016 by Agency'!F235*Inflator!$E$4</f>
        <v>381942.68747620861</v>
      </c>
      <c r="G231" s="338">
        <f t="shared" si="278"/>
        <v>3166.8710156212328</v>
      </c>
      <c r="H231" s="339">
        <f t="shared" ref="H231:H253" si="287">(F231-C231)/C231</f>
        <v>8.3608057272863256E-3</v>
      </c>
      <c r="I231" s="338">
        <f>'FY 2016 by Agency'!I235*Inflator!$E$5</f>
        <v>394028.046113797</v>
      </c>
      <c r="J231" s="338">
        <f t="shared" si="279"/>
        <v>12085.35863758839</v>
      </c>
      <c r="K231" s="339">
        <f t="shared" ref="K231:K253" si="288">(I231-F231)/F231</f>
        <v>3.1641811805445792E-2</v>
      </c>
      <c r="L231" s="338">
        <f>'FY 2016 by Agency'!L235*Inflator!$E$6</f>
        <v>522602.64231188659</v>
      </c>
      <c r="M231" s="338">
        <f t="shared" si="280"/>
        <v>128574.5961980896</v>
      </c>
      <c r="N231" s="339">
        <f t="shared" ref="N231:N253" si="289">(L231-I231)/I231</f>
        <v>0.32630823482284987</v>
      </c>
      <c r="O231" s="338">
        <f>'FY 2016 by Agency'!O235*Inflator!$E$7</f>
        <v>543751.16473072849</v>
      </c>
      <c r="P231" s="340">
        <f t="shared" si="264"/>
        <v>21148.522418841894</v>
      </c>
      <c r="Q231" s="341">
        <f>P231/L231</f>
        <v>4.0467691332912482E-2</v>
      </c>
      <c r="R231" s="338">
        <f>'FY 2016 by Agency'!R235*Inflator!$E$8</f>
        <v>1049710.6904276987</v>
      </c>
      <c r="S231" s="340">
        <f t="shared" si="285"/>
        <v>505959.52569697017</v>
      </c>
      <c r="T231" s="341">
        <f>S231/O231</f>
        <v>0.93049828398533518</v>
      </c>
      <c r="U231" s="338">
        <f>'FY 2016 by Agency'!U235*Inflator!$E$9</f>
        <v>723706.03448275849</v>
      </c>
      <c r="V231" s="340">
        <f t="shared" si="265"/>
        <v>-326004.65594494017</v>
      </c>
      <c r="W231" s="341">
        <f>V231/R231</f>
        <v>-0.31056619592214635</v>
      </c>
      <c r="X231" s="338">
        <f>'FY 2016 by Agency'!X235*Inflator!$E$10</f>
        <v>956394.55350905051</v>
      </c>
      <c r="Y231" s="352">
        <f>X231-U231</f>
        <v>232688.51902629202</v>
      </c>
      <c r="Z231" s="341">
        <f>Y231/U231</f>
        <v>0.32152353018943297</v>
      </c>
      <c r="AA231" s="338">
        <f>'FY 2016 by Agency'!AA235*Inflator!$E$11</f>
        <v>1110889.0350430075</v>
      </c>
      <c r="AB231" s="352">
        <f t="shared" si="249"/>
        <v>154494.48153395695</v>
      </c>
      <c r="AC231" s="342">
        <f t="shared" si="250"/>
        <v>0.16153843721412928</v>
      </c>
      <c r="AD231" s="338" t="e">
        <f>'FY 2016 by Agency'!AD235*Inflator!#REF!</f>
        <v>#REF!</v>
      </c>
      <c r="AE231" s="340">
        <f>SUM(AE206:AE228)</f>
        <v>0</v>
      </c>
      <c r="AF231" s="338">
        <f>'FY 2016 by Agency'!AF235*Inflator!$E$12</f>
        <v>862921.88627819554</v>
      </c>
      <c r="AG231" s="338">
        <f t="shared" si="251"/>
        <v>-247967.14876481192</v>
      </c>
      <c r="AH231" s="342">
        <f t="shared" si="252"/>
        <v>-0.22321504753641935</v>
      </c>
      <c r="AI231" s="340">
        <f t="shared" ref="AI231:AS231" si="290">SUM(AI206:AI228)</f>
        <v>0</v>
      </c>
      <c r="AJ231" s="340">
        <f t="shared" si="290"/>
        <v>0</v>
      </c>
      <c r="AK231" s="340">
        <f t="shared" si="290"/>
        <v>703920</v>
      </c>
      <c r="AL231" s="340">
        <f t="shared" si="290"/>
        <v>3467</v>
      </c>
      <c r="AM231" s="340">
        <f t="shared" si="290"/>
        <v>707387</v>
      </c>
      <c r="AN231" s="340">
        <f t="shared" si="290"/>
        <v>643142</v>
      </c>
      <c r="AO231" s="340">
        <f t="shared" si="290"/>
        <v>905453</v>
      </c>
      <c r="AP231" s="340">
        <f t="shared" si="290"/>
        <v>0</v>
      </c>
      <c r="AQ231" s="340">
        <f t="shared" si="290"/>
        <v>0</v>
      </c>
      <c r="AR231" s="340">
        <f t="shared" si="290"/>
        <v>0</v>
      </c>
      <c r="AS231" s="340">
        <f t="shared" si="290"/>
        <v>861536.56293000001</v>
      </c>
      <c r="AT231" s="338" t="e">
        <f t="shared" si="253"/>
        <v>#REF!</v>
      </c>
      <c r="AU231" s="342" t="e">
        <f t="shared" si="254"/>
        <v>#REF!</v>
      </c>
      <c r="AV231" s="338">
        <f t="shared" si="255"/>
        <v>-1385.3233481955249</v>
      </c>
      <c r="AW231" s="342">
        <f t="shared" si="256"/>
        <v>-1.6053867334046427E-3</v>
      </c>
      <c r="AX231" s="342"/>
      <c r="AY231" s="401">
        <f>SUM(AY206:AY229)</f>
        <v>896853</v>
      </c>
      <c r="AZ231" s="342">
        <f>+AY231/AF231</f>
        <v>1.0393211880024857</v>
      </c>
      <c r="BA231" s="342"/>
      <c r="BB231" s="346">
        <f>SUM(BB206:BB228)</f>
        <v>844336.56293000001</v>
      </c>
      <c r="BC231" s="342">
        <f t="shared" si="260"/>
        <v>-2.1537665973862974E-2</v>
      </c>
      <c r="BD231" s="345">
        <f>SUM(BD206:BD228)</f>
        <v>0</v>
      </c>
      <c r="BE231" s="345"/>
      <c r="BF231" s="339">
        <f>(BB231-X231)/X231</f>
        <v>-0.1171671149400686</v>
      </c>
      <c r="BI231" s="348">
        <f>SUM(BI206:BI229)</f>
        <v>938024</v>
      </c>
      <c r="BJ231" s="401">
        <f>SUM(BJ206:BJ229)</f>
        <v>41171</v>
      </c>
      <c r="BK231" s="348">
        <f>SUM(BK206:BK229)</f>
        <v>938024</v>
      </c>
      <c r="BL231" s="350">
        <f>SUM(BL206:BL229)</f>
        <v>947243.28234262741</v>
      </c>
      <c r="BM231" s="338">
        <f t="shared" si="269"/>
        <v>84321.396064431872</v>
      </c>
      <c r="BN231" s="351">
        <f>BM231/AF231</f>
        <v>9.7716140250089428E-2</v>
      </c>
      <c r="BO231" s="338">
        <f>'FY 2016 by Agency'!AX235*Inflator!$E$13</f>
        <v>1031339.7839487336</v>
      </c>
      <c r="BP231" s="338">
        <f t="shared" si="281"/>
        <v>168417.89767053805</v>
      </c>
      <c r="BQ231" s="339">
        <f t="shared" si="282"/>
        <v>0.19517166078256376</v>
      </c>
      <c r="BR231" s="338">
        <f>'FY 2016 by Agency'!BE235*Inflator!$E$14</f>
        <v>1058664.6802741359</v>
      </c>
      <c r="BS231" s="338">
        <f t="shared" si="283"/>
        <v>27324.896325402311</v>
      </c>
      <c r="BT231" s="339">
        <f t="shared" si="284"/>
        <v>2.6494562462026184E-2</v>
      </c>
      <c r="BU231" s="340">
        <f>SUM(BU206:BU229)</f>
        <v>1058664.6802741357</v>
      </c>
      <c r="BV231" s="338">
        <f t="shared" si="270"/>
        <v>111421.39793150825</v>
      </c>
      <c r="BW231" s="352">
        <f>SUM(BW206:BW229)</f>
        <v>1033696</v>
      </c>
      <c r="BX231" s="340" t="e">
        <f>SUM(BX206:BX229)</f>
        <v>#REF!</v>
      </c>
      <c r="BY231" s="338">
        <f>'FY 2016 by Agency'!BZ235*Inflator!$E$15</f>
        <v>981323.68513632356</v>
      </c>
      <c r="BZ231" s="352">
        <f t="shared" si="275"/>
        <v>-24968.680274135899</v>
      </c>
      <c r="CA231" s="339">
        <f t="shared" si="276"/>
        <v>-2.3585069700889978E-2</v>
      </c>
      <c r="CB231" s="674">
        <f>'FY 2016 by Agency'!CF235*Inflator!$E$16</f>
        <v>963629.2688420444</v>
      </c>
      <c r="CC231" s="352">
        <f t="shared" si="262"/>
        <v>-17694.416294279159</v>
      </c>
      <c r="CD231" s="341">
        <f t="shared" si="263"/>
        <v>-1.803117214257504E-2</v>
      </c>
      <c r="CE231" s="206">
        <f>'FY 2016 by Agency'!CK235*Inflator!$E$17</f>
        <v>1048465.8532162086</v>
      </c>
      <c r="CF231" s="349">
        <f>CE231-CB231</f>
        <v>84836.584374164231</v>
      </c>
      <c r="CG231" s="562">
        <f>CF231/CB231</f>
        <v>8.8038613102847149E-2</v>
      </c>
      <c r="CH231" s="206">
        <f>'FY 2016 by Agency'!CN235*Inflator!$E$18</f>
        <v>1055115</v>
      </c>
      <c r="CI231" s="753">
        <f t="shared" si="273"/>
        <v>6649.146783791366</v>
      </c>
      <c r="CJ231" s="304">
        <f t="shared" si="274"/>
        <v>6.3417866813638771E-3</v>
      </c>
    </row>
    <row r="232" spans="1:88" s="335" customFormat="1" ht="18" customHeight="1" x14ac:dyDescent="0.25">
      <c r="B232" s="302"/>
      <c r="C232" s="302"/>
      <c r="D232" s="336"/>
      <c r="E232" s="337"/>
      <c r="F232" s="204"/>
      <c r="G232" s="338"/>
      <c r="H232" s="339"/>
      <c r="I232" s="204"/>
      <c r="J232" s="338"/>
      <c r="K232" s="339"/>
      <c r="L232" s="204"/>
      <c r="M232" s="358"/>
      <c r="N232" s="406"/>
      <c r="O232" s="204"/>
      <c r="P232" s="340"/>
      <c r="Q232" s="341"/>
      <c r="R232" s="204"/>
      <c r="S232" s="340"/>
      <c r="T232" s="341"/>
      <c r="U232" s="204"/>
      <c r="V232" s="340"/>
      <c r="W232" s="341"/>
      <c r="X232" s="204"/>
      <c r="Y232" s="352"/>
      <c r="Z232" s="341"/>
      <c r="AA232" s="204"/>
      <c r="AB232" s="352"/>
      <c r="AC232" s="342"/>
      <c r="AD232" s="358"/>
      <c r="AE232" s="340"/>
      <c r="AF232" s="204"/>
      <c r="AG232" s="338"/>
      <c r="AH232" s="342"/>
      <c r="AI232" s="340"/>
      <c r="AJ232" s="340"/>
      <c r="AK232" s="340"/>
      <c r="AL232" s="340"/>
      <c r="AM232" s="340"/>
      <c r="AN232" s="340"/>
      <c r="AO232" s="340"/>
      <c r="AP232" s="340"/>
      <c r="AQ232" s="340"/>
      <c r="AR232" s="340"/>
      <c r="AS232" s="340"/>
      <c r="AT232" s="338"/>
      <c r="AU232" s="342"/>
      <c r="AV232" s="338"/>
      <c r="AW232" s="342"/>
      <c r="AX232" s="342"/>
      <c r="AY232" s="401"/>
      <c r="AZ232" s="342"/>
      <c r="BA232" s="342"/>
      <c r="BB232" s="346"/>
      <c r="BC232" s="342"/>
      <c r="BD232" s="345"/>
      <c r="BE232" s="345"/>
      <c r="BF232" s="339"/>
      <c r="BI232" s="348"/>
      <c r="BJ232" s="401"/>
      <c r="BK232" s="348"/>
      <c r="BL232" s="441"/>
      <c r="BM232" s="423"/>
      <c r="BN232" s="351"/>
      <c r="BO232" s="204"/>
      <c r="BP232" s="204"/>
      <c r="BQ232" s="66"/>
      <c r="BR232" s="204"/>
      <c r="BS232" s="204"/>
      <c r="BT232" s="66"/>
      <c r="BU232" s="423"/>
      <c r="BV232" s="423"/>
      <c r="BW232" s="206"/>
      <c r="BY232" s="206"/>
      <c r="BZ232" s="206"/>
      <c r="CA232" s="199"/>
      <c r="CC232" s="206"/>
      <c r="CD232" s="341"/>
      <c r="CG232" s="596"/>
    </row>
    <row r="233" spans="1:88" s="317" customFormat="1" ht="18" customHeight="1" x14ac:dyDescent="0.25">
      <c r="A233" s="373" t="s">
        <v>334</v>
      </c>
      <c r="B233" s="302"/>
      <c r="C233" s="302"/>
      <c r="D233" s="310"/>
      <c r="E233" s="310"/>
      <c r="F233" s="204"/>
      <c r="G233" s="204"/>
      <c r="H233" s="310"/>
      <c r="I233" s="310"/>
      <c r="J233" s="310"/>
      <c r="K233" s="310"/>
      <c r="L233" s="204"/>
      <c r="M233" s="204"/>
      <c r="N233" s="199"/>
      <c r="O233" s="204"/>
      <c r="P233" s="338"/>
      <c r="Q233" s="356"/>
      <c r="R233" s="204"/>
      <c r="S233" s="358"/>
      <c r="T233" s="356"/>
      <c r="U233" s="204"/>
      <c r="V233" s="338"/>
      <c r="W233" s="342"/>
      <c r="X233" s="204"/>
      <c r="Y233" s="368"/>
      <c r="Z233" s="356"/>
      <c r="AA233" s="204"/>
      <c r="AB233" s="368"/>
      <c r="AC233" s="358"/>
      <c r="AD233" s="204"/>
      <c r="AE233" s="336"/>
      <c r="AF233" s="358"/>
      <c r="AG233" s="358"/>
      <c r="AH233" s="358"/>
      <c r="AI233" s="338"/>
      <c r="AJ233" s="401"/>
      <c r="AK233" s="401"/>
      <c r="AL233" s="401"/>
      <c r="AM233" s="401"/>
      <c r="AN233" s="366"/>
      <c r="AO233" s="367"/>
      <c r="AP233" s="338"/>
      <c r="AQ233" s="338"/>
      <c r="AR233" s="338"/>
      <c r="AS233" s="338"/>
      <c r="AT233" s="358"/>
      <c r="AU233" s="368"/>
      <c r="AV233" s="367"/>
      <c r="AW233" s="340"/>
      <c r="BD233" s="322"/>
      <c r="BE233" s="322"/>
      <c r="BI233" s="318"/>
      <c r="BK233" s="442"/>
      <c r="BL233" s="435"/>
      <c r="BM233" s="315"/>
      <c r="BN233" s="339"/>
      <c r="BP233" s="204"/>
      <c r="BQ233" s="66"/>
      <c r="BR233" s="204"/>
      <c r="BS233" s="204"/>
      <c r="BT233" s="66"/>
      <c r="BU233" s="315"/>
      <c r="BV233" s="315"/>
      <c r="BW233" s="206"/>
      <c r="BX233" s="340"/>
      <c r="BY233" s="206"/>
      <c r="BZ233" s="206"/>
      <c r="CA233" s="199"/>
      <c r="CC233" s="206"/>
      <c r="CD233" s="316"/>
      <c r="CG233" s="679"/>
    </row>
    <row r="234" spans="1:88" s="317" customFormat="1" ht="18" customHeight="1" x14ac:dyDescent="0.25">
      <c r="A234" s="317" t="s">
        <v>336</v>
      </c>
      <c r="B234" s="302"/>
      <c r="C234" s="302"/>
      <c r="D234" s="310"/>
      <c r="E234" s="310"/>
      <c r="F234" s="204"/>
      <c r="G234" s="204"/>
      <c r="H234" s="310"/>
      <c r="I234" s="310"/>
      <c r="J234" s="310"/>
      <c r="K234" s="310"/>
      <c r="L234" s="204"/>
      <c r="M234" s="204"/>
      <c r="N234" s="199"/>
      <c r="O234" s="204"/>
      <c r="P234" s="338"/>
      <c r="Q234" s="356"/>
      <c r="R234" s="204"/>
      <c r="S234" s="358"/>
      <c r="T234" s="356"/>
      <c r="U234" s="204"/>
      <c r="V234" s="338"/>
      <c r="W234" s="342"/>
      <c r="X234" s="204"/>
      <c r="Y234" s="368"/>
      <c r="Z234" s="356"/>
      <c r="AA234" s="204"/>
      <c r="AB234" s="368"/>
      <c r="AC234" s="358"/>
      <c r="AD234" s="204"/>
      <c r="AE234" s="336"/>
      <c r="AF234" s="358"/>
      <c r="AG234" s="358"/>
      <c r="AH234" s="358"/>
      <c r="AI234" s="338"/>
      <c r="AJ234" s="401"/>
      <c r="AK234" s="401"/>
      <c r="AL234" s="401"/>
      <c r="AM234" s="401"/>
      <c r="AN234" s="366"/>
      <c r="AO234" s="367"/>
      <c r="AP234" s="338"/>
      <c r="AQ234" s="338"/>
      <c r="AR234" s="338"/>
      <c r="AS234" s="338"/>
      <c r="AT234" s="358"/>
      <c r="AU234" s="368"/>
      <c r="AV234" s="367"/>
      <c r="AW234" s="340"/>
      <c r="AY234" s="443"/>
      <c r="BD234" s="322"/>
      <c r="BE234" s="322"/>
      <c r="BI234" s="318"/>
      <c r="BK234" s="442"/>
      <c r="BL234" s="435"/>
      <c r="BM234" s="315"/>
      <c r="BN234" s="339"/>
      <c r="BP234" s="204"/>
      <c r="BQ234" s="66"/>
      <c r="BR234" s="204"/>
      <c r="BS234" s="204"/>
      <c r="BT234" s="66"/>
      <c r="BU234" s="315"/>
      <c r="BV234" s="315"/>
      <c r="BW234" s="206"/>
      <c r="BY234" s="206"/>
      <c r="BZ234" s="206"/>
      <c r="CA234" s="199"/>
      <c r="CC234" s="206"/>
      <c r="CD234" s="316"/>
      <c r="CG234" s="679"/>
    </row>
    <row r="235" spans="1:88" s="317" customFormat="1" ht="18" customHeight="1" x14ac:dyDescent="0.25">
      <c r="A235" s="317" t="s">
        <v>335</v>
      </c>
      <c r="B235" s="302"/>
      <c r="C235" s="302"/>
      <c r="D235" s="310"/>
      <c r="E235" s="310"/>
      <c r="F235" s="204"/>
      <c r="G235" s="204"/>
      <c r="H235" s="310"/>
      <c r="I235" s="310"/>
      <c r="J235" s="310"/>
      <c r="K235" s="310"/>
      <c r="L235" s="204"/>
      <c r="M235" s="204"/>
      <c r="N235" s="199"/>
      <c r="O235" s="204"/>
      <c r="P235" s="338"/>
      <c r="Q235" s="356"/>
      <c r="R235" s="204"/>
      <c r="S235" s="358"/>
      <c r="T235" s="356"/>
      <c r="U235" s="204"/>
      <c r="V235" s="338"/>
      <c r="W235" s="342"/>
      <c r="X235" s="204"/>
      <c r="Y235" s="368"/>
      <c r="Z235" s="356"/>
      <c r="AA235" s="204"/>
      <c r="AB235" s="368"/>
      <c r="AC235" s="365"/>
      <c r="AD235" s="204"/>
      <c r="AE235" s="403"/>
      <c r="AF235" s="404"/>
      <c r="AG235" s="404"/>
      <c r="AH235" s="404"/>
      <c r="AI235" s="404"/>
      <c r="AM235" s="307"/>
      <c r="AN235" s="374"/>
      <c r="AO235" s="433"/>
      <c r="AP235" s="315"/>
      <c r="AQ235" s="315"/>
      <c r="AR235" s="315"/>
      <c r="AS235" s="204"/>
      <c r="AT235" s="204"/>
      <c r="AU235" s="413"/>
      <c r="AV235" s="433"/>
      <c r="AW235" s="423"/>
      <c r="BD235" s="322"/>
      <c r="BE235" s="322"/>
      <c r="BI235" s="318"/>
      <c r="BK235" s="442"/>
      <c r="BL235" s="435"/>
      <c r="BM235" s="315"/>
      <c r="BN235" s="339"/>
      <c r="BP235" s="204"/>
      <c r="BQ235" s="66"/>
      <c r="BR235" s="204"/>
      <c r="BS235" s="204"/>
      <c r="BT235" s="66"/>
      <c r="BU235" s="315"/>
      <c r="BV235" s="315"/>
      <c r="BW235" s="413"/>
      <c r="BY235" s="413"/>
      <c r="BZ235" s="206"/>
      <c r="CA235" s="199"/>
      <c r="CC235" s="206"/>
      <c r="CD235" s="316"/>
      <c r="CG235" s="679"/>
    </row>
    <row r="236" spans="1:88" s="211" customFormat="1" ht="18" customHeight="1" thickBot="1" x14ac:dyDescent="0.3">
      <c r="A236" s="211" t="s">
        <v>485</v>
      </c>
      <c r="B236" s="326"/>
      <c r="C236" s="326"/>
      <c r="D236" s="326"/>
      <c r="E236" s="326"/>
      <c r="F236" s="327"/>
      <c r="G236" s="327"/>
      <c r="H236" s="326"/>
      <c r="I236" s="326"/>
      <c r="J236" s="326"/>
      <c r="K236" s="326"/>
      <c r="L236" s="327"/>
      <c r="M236" s="327"/>
      <c r="N236" s="212"/>
      <c r="O236" s="327"/>
      <c r="P236" s="444"/>
      <c r="Q236" s="445"/>
      <c r="R236" s="327"/>
      <c r="S236" s="444"/>
      <c r="T236" s="445"/>
      <c r="U236" s="327"/>
      <c r="V236" s="444"/>
      <c r="W236" s="445"/>
      <c r="X236" s="327"/>
      <c r="Y236" s="446"/>
      <c r="Z236" s="445"/>
      <c r="AA236" s="327"/>
      <c r="AB236" s="446"/>
      <c r="AC236" s="447"/>
      <c r="AD236" s="327"/>
      <c r="AE236" s="448"/>
      <c r="AF236" s="449"/>
      <c r="AG236" s="449"/>
      <c r="AH236" s="449"/>
      <c r="AI236" s="449"/>
      <c r="AM236" s="332"/>
      <c r="AN236" s="450"/>
      <c r="AO236" s="334"/>
      <c r="AP236" s="327"/>
      <c r="AQ236" s="327"/>
      <c r="AR236" s="327"/>
      <c r="AS236" s="327"/>
      <c r="AT236" s="327"/>
      <c r="AU236" s="333"/>
      <c r="AV236" s="334"/>
      <c r="AW236" s="451"/>
      <c r="BD236" s="329"/>
      <c r="BE236" s="329"/>
      <c r="BI236" s="331"/>
      <c r="BK236" s="452"/>
      <c r="BL236" s="436"/>
      <c r="BM236" s="327"/>
      <c r="BN236" s="453"/>
      <c r="BP236" s="327"/>
      <c r="BR236" s="327"/>
      <c r="BS236" s="327"/>
      <c r="BU236" s="327"/>
      <c r="BV236" s="327"/>
      <c r="BW236" s="333"/>
      <c r="BY236" s="333"/>
      <c r="BZ236" s="333"/>
      <c r="CA236" s="212"/>
      <c r="CC236" s="333"/>
      <c r="CD236" s="328"/>
      <c r="CG236" s="675"/>
    </row>
    <row r="237" spans="1:88" s="317" customFormat="1" ht="18" customHeight="1" x14ac:dyDescent="0.25">
      <c r="B237" s="302" t="e">
        <f>'FY 2016 by Agency'!B240*Inflator!#REF!</f>
        <v>#REF!</v>
      </c>
      <c r="C237" s="302" t="e">
        <f>'FY 2016 by Agency'!C240*Inflator!#REF!</f>
        <v>#REF!</v>
      </c>
      <c r="D237" s="302" t="e">
        <f t="shared" si="277"/>
        <v>#REF!</v>
      </c>
      <c r="E237" s="303" t="e">
        <f t="shared" si="286"/>
        <v>#REF!</v>
      </c>
      <c r="F237" s="204" t="e">
        <f>'FY 2016 by Agency'!F240*Inflator!#REF!</f>
        <v>#REF!</v>
      </c>
      <c r="G237" s="204" t="e">
        <f t="shared" si="278"/>
        <v>#REF!</v>
      </c>
      <c r="H237" s="199" t="e">
        <f t="shared" si="287"/>
        <v>#REF!</v>
      </c>
      <c r="I237" s="204" t="e">
        <f>'FY 2016 by Agency'!I240*Inflator!#REF!</f>
        <v>#REF!</v>
      </c>
      <c r="J237" s="204" t="e">
        <f t="shared" si="279"/>
        <v>#REF!</v>
      </c>
      <c r="K237" s="199" t="e">
        <f t="shared" si="288"/>
        <v>#REF!</v>
      </c>
      <c r="L237" s="204" t="e">
        <f>'FY 2016 by Agency'!L240*Inflator!#REF!</f>
        <v>#REF!</v>
      </c>
      <c r="M237" s="204" t="e">
        <f t="shared" si="280"/>
        <v>#REF!</v>
      </c>
      <c r="N237" s="199" t="e">
        <f t="shared" si="289"/>
        <v>#REF!</v>
      </c>
      <c r="O237" s="204" t="e">
        <f>'FY 2016 by Agency'!O240*Inflator!#REF!</f>
        <v>#REF!</v>
      </c>
      <c r="P237" s="315"/>
      <c r="Q237" s="394"/>
      <c r="R237" s="204" t="e">
        <f>'FY 2016 by Agency'!R240*Inflator!#REF!</f>
        <v>#REF!</v>
      </c>
      <c r="S237" s="204"/>
      <c r="T237" s="394"/>
      <c r="U237" s="204" t="e">
        <f>'FY 2016 by Agency'!U240*Inflator!#REF!</f>
        <v>#REF!</v>
      </c>
      <c r="V237" s="315"/>
      <c r="W237" s="394"/>
      <c r="X237" s="204" t="e">
        <f>'FY 2016 by Agency'!X240*Inflator!#REF!</f>
        <v>#REF!</v>
      </c>
      <c r="Y237" s="206"/>
      <c r="Z237" s="304"/>
      <c r="AA237" s="204" t="e">
        <f>'FY 2016 by Agency'!AA240*Inflator!#REF!</f>
        <v>#REF!</v>
      </c>
      <c r="AB237" s="206"/>
      <c r="AC237" s="200"/>
      <c r="AD237" s="204" t="e">
        <f>'FY 2016 by Agency'!AD240*Inflator!#REF!</f>
        <v>#REF!</v>
      </c>
      <c r="AE237" s="201"/>
      <c r="AF237" s="202"/>
      <c r="AG237" s="202"/>
      <c r="AH237" s="202"/>
      <c r="AI237" s="202"/>
      <c r="AM237" s="307"/>
      <c r="AN237" s="374">
        <f t="shared" ref="AN237:AN251" si="291">AI234-AE237</f>
        <v>0</v>
      </c>
      <c r="AO237" s="433"/>
      <c r="AP237" s="315"/>
      <c r="AQ237" s="315"/>
      <c r="AR237" s="315"/>
      <c r="AS237" s="204"/>
      <c r="AT237" s="204">
        <f t="shared" ref="AT237:AT251" si="292">AM237/1000</f>
        <v>0</v>
      </c>
      <c r="AU237" s="413"/>
      <c r="AV237" s="433"/>
      <c r="AW237" s="423"/>
      <c r="BD237" s="322"/>
      <c r="BE237" s="322"/>
      <c r="BI237" s="318"/>
      <c r="BK237" s="442"/>
      <c r="BL237" s="435">
        <f>'FY 2016 by Agency'!AS241*Inflator!$E$13</f>
        <v>0</v>
      </c>
      <c r="BM237" s="315">
        <f>'FY 2016 by Agency'!AT241*Inflator!$E$13</f>
        <v>0</v>
      </c>
      <c r="BN237" s="339" t="e">
        <f t="shared" ref="BN237:BN253" si="293">BM237/AF237</f>
        <v>#DIV/0!</v>
      </c>
      <c r="BP237" s="204">
        <f t="shared" si="281"/>
        <v>0</v>
      </c>
      <c r="BQ237" s="66" t="e">
        <f t="shared" si="282"/>
        <v>#DIV/0!</v>
      </c>
      <c r="BR237" s="204">
        <f>'FY 2016 by Agency'!BE240*Inflator!$E$14</f>
        <v>0</v>
      </c>
      <c r="BS237" s="204">
        <f t="shared" si="283"/>
        <v>0</v>
      </c>
      <c r="BT237" s="66" t="e">
        <f t="shared" si="284"/>
        <v>#DIV/0!</v>
      </c>
      <c r="BU237" s="315">
        <f>'FY 2016 by Agency'!BL241*Inflator!$E$14</f>
        <v>0</v>
      </c>
      <c r="BV237" s="315">
        <f>'FY 2016 by Agency'!BM241*Inflator!$E$14</f>
        <v>0</v>
      </c>
      <c r="BW237" s="206"/>
      <c r="BY237" s="206"/>
      <c r="BZ237" s="206">
        <f t="shared" si="275"/>
        <v>0</v>
      </c>
      <c r="CA237" s="199" t="e">
        <f t="shared" si="276"/>
        <v>#DIV/0!</v>
      </c>
      <c r="CC237" s="206">
        <f t="shared" ref="CC237:CC251" si="294">BW237-BR237</f>
        <v>0</v>
      </c>
      <c r="CD237" s="316"/>
      <c r="CG237" s="679"/>
    </row>
    <row r="238" spans="1:88" s="317" customFormat="1" ht="18" customHeight="1" x14ac:dyDescent="0.25">
      <c r="A238" s="68"/>
      <c r="B238" s="302" t="e">
        <f>'FY 2016 by Agency'!B241*Inflator!#REF!</f>
        <v>#REF!</v>
      </c>
      <c r="C238" s="302" t="e">
        <f>'FY 2016 by Agency'!C241*Inflator!#REF!</f>
        <v>#REF!</v>
      </c>
      <c r="D238" s="302" t="e">
        <f t="shared" si="277"/>
        <v>#REF!</v>
      </c>
      <c r="E238" s="303" t="e">
        <f t="shared" si="286"/>
        <v>#REF!</v>
      </c>
      <c r="F238" s="204" t="e">
        <f>'FY 2016 by Agency'!F241*Inflator!#REF!</f>
        <v>#REF!</v>
      </c>
      <c r="G238" s="204" t="e">
        <f t="shared" si="278"/>
        <v>#REF!</v>
      </c>
      <c r="H238" s="199" t="e">
        <f t="shared" si="287"/>
        <v>#REF!</v>
      </c>
      <c r="I238" s="204" t="e">
        <f>'FY 2016 by Agency'!I241*Inflator!#REF!</f>
        <v>#REF!</v>
      </c>
      <c r="J238" s="204" t="e">
        <f t="shared" si="279"/>
        <v>#REF!</v>
      </c>
      <c r="K238" s="199" t="e">
        <f t="shared" si="288"/>
        <v>#REF!</v>
      </c>
      <c r="L238" s="204" t="e">
        <f>'FY 2016 by Agency'!L241*Inflator!#REF!</f>
        <v>#REF!</v>
      </c>
      <c r="M238" s="204" t="e">
        <f t="shared" si="280"/>
        <v>#REF!</v>
      </c>
      <c r="N238" s="199" t="e">
        <f t="shared" si="289"/>
        <v>#REF!</v>
      </c>
      <c r="O238" s="204" t="e">
        <f>'FY 2016 by Agency'!O241*Inflator!#REF!</f>
        <v>#REF!</v>
      </c>
      <c r="P238" s="315"/>
      <c r="Q238" s="394"/>
      <c r="R238" s="204" t="e">
        <f>'FY 2016 by Agency'!R241*Inflator!#REF!</f>
        <v>#REF!</v>
      </c>
      <c r="S238" s="204"/>
      <c r="T238" s="394"/>
      <c r="U238" s="204" t="e">
        <f>'FY 2016 by Agency'!U241*Inflator!#REF!</f>
        <v>#REF!</v>
      </c>
      <c r="V238" s="315"/>
      <c r="W238" s="394"/>
      <c r="X238" s="204" t="e">
        <f>'FY 2016 by Agency'!X241*Inflator!#REF!</f>
        <v>#REF!</v>
      </c>
      <c r="Y238" s="206"/>
      <c r="Z238" s="304"/>
      <c r="AA238" s="204" t="e">
        <f>'FY 2016 by Agency'!AA241*Inflator!#REF!</f>
        <v>#REF!</v>
      </c>
      <c r="AB238" s="206"/>
      <c r="AC238" s="200"/>
      <c r="AD238" s="204" t="e">
        <f>'FY 2016 by Agency'!AD241*Inflator!#REF!</f>
        <v>#REF!</v>
      </c>
      <c r="AE238" s="201"/>
      <c r="AF238" s="202"/>
      <c r="AG238" s="202"/>
      <c r="AH238" s="202"/>
      <c r="AI238" s="202"/>
      <c r="AJ238" s="454">
        <v>0</v>
      </c>
      <c r="AK238" s="454">
        <v>0</v>
      </c>
      <c r="AL238" s="454">
        <v>0</v>
      </c>
      <c r="AM238" s="455">
        <v>0</v>
      </c>
      <c r="AN238" s="374">
        <f t="shared" si="291"/>
        <v>0</v>
      </c>
      <c r="AO238" s="433"/>
      <c r="AP238" s="456">
        <v>0</v>
      </c>
      <c r="AQ238" s="456">
        <v>0</v>
      </c>
      <c r="AR238" s="456">
        <v>0</v>
      </c>
      <c r="AS238" s="457">
        <v>0</v>
      </c>
      <c r="AT238" s="204">
        <f t="shared" si="292"/>
        <v>0</v>
      </c>
      <c r="AU238" s="413"/>
      <c r="AV238" s="433"/>
      <c r="AW238" s="423">
        <v>393623</v>
      </c>
      <c r="BD238" s="322"/>
      <c r="BE238" s="322"/>
      <c r="BI238" s="318"/>
      <c r="BK238" s="442"/>
      <c r="BL238" s="435">
        <f>'FY 2016 by Agency'!AS242*Inflator!$E$13</f>
        <v>0</v>
      </c>
      <c r="BM238" s="315">
        <f>'FY 2016 by Agency'!AT242*Inflator!$E$13</f>
        <v>0</v>
      </c>
      <c r="BN238" s="339" t="e">
        <f t="shared" si="293"/>
        <v>#DIV/0!</v>
      </c>
      <c r="BP238" s="204">
        <f t="shared" si="281"/>
        <v>0</v>
      </c>
      <c r="BQ238" s="66" t="e">
        <f t="shared" si="282"/>
        <v>#DIV/0!</v>
      </c>
      <c r="BR238" s="204">
        <f>'FY 2016 by Agency'!BE241*Inflator!$E$14</f>
        <v>0</v>
      </c>
      <c r="BS238" s="204">
        <f t="shared" si="283"/>
        <v>0</v>
      </c>
      <c r="BT238" s="66" t="e">
        <f t="shared" si="284"/>
        <v>#DIV/0!</v>
      </c>
      <c r="BU238" s="315">
        <f>'FY 2016 by Agency'!BL242*Inflator!$E$14</f>
        <v>0</v>
      </c>
      <c r="BV238" s="315">
        <f>'FY 2016 by Agency'!BM242*Inflator!$E$14</f>
        <v>0</v>
      </c>
      <c r="BW238" s="206"/>
      <c r="BY238" s="206"/>
      <c r="BZ238" s="206">
        <f t="shared" si="275"/>
        <v>0</v>
      </c>
      <c r="CA238" s="199" t="e">
        <f t="shared" si="276"/>
        <v>#DIV/0!</v>
      </c>
      <c r="CC238" s="206">
        <f t="shared" si="294"/>
        <v>0</v>
      </c>
      <c r="CD238" s="316"/>
      <c r="CG238" s="679"/>
    </row>
    <row r="239" spans="1:88" s="317" customFormat="1" ht="18" customHeight="1" x14ac:dyDescent="0.25">
      <c r="A239" s="68"/>
      <c r="B239" s="302" t="e">
        <f>'FY 2016 by Agency'!B242*Inflator!#REF!</f>
        <v>#REF!</v>
      </c>
      <c r="C239" s="302" t="e">
        <f>'FY 2016 by Agency'!C242*Inflator!#REF!</f>
        <v>#REF!</v>
      </c>
      <c r="D239" s="302" t="e">
        <f t="shared" si="277"/>
        <v>#REF!</v>
      </c>
      <c r="E239" s="303" t="e">
        <f t="shared" si="286"/>
        <v>#REF!</v>
      </c>
      <c r="F239" s="204" t="e">
        <f>'FY 2016 by Agency'!F242*Inflator!#REF!</f>
        <v>#REF!</v>
      </c>
      <c r="G239" s="204" t="e">
        <f t="shared" si="278"/>
        <v>#REF!</v>
      </c>
      <c r="H239" s="199" t="e">
        <f t="shared" si="287"/>
        <v>#REF!</v>
      </c>
      <c r="I239" s="204" t="e">
        <f>'FY 2016 by Agency'!I242*Inflator!#REF!</f>
        <v>#REF!</v>
      </c>
      <c r="J239" s="204" t="e">
        <f t="shared" si="279"/>
        <v>#REF!</v>
      </c>
      <c r="K239" s="199" t="e">
        <f t="shared" si="288"/>
        <v>#REF!</v>
      </c>
      <c r="L239" s="204" t="e">
        <f>'FY 2016 by Agency'!L242*Inflator!#REF!</f>
        <v>#REF!</v>
      </c>
      <c r="M239" s="204" t="e">
        <f t="shared" si="280"/>
        <v>#REF!</v>
      </c>
      <c r="N239" s="199" t="e">
        <f t="shared" si="289"/>
        <v>#REF!</v>
      </c>
      <c r="O239" s="204" t="e">
        <f>'FY 2016 by Agency'!O242*Inflator!#REF!</f>
        <v>#REF!</v>
      </c>
      <c r="P239" s="315"/>
      <c r="Q239" s="394"/>
      <c r="R239" s="204" t="e">
        <f>'FY 2016 by Agency'!R242*Inflator!#REF!</f>
        <v>#REF!</v>
      </c>
      <c r="S239" s="204"/>
      <c r="T239" s="394"/>
      <c r="U239" s="204" t="e">
        <f>'FY 2016 by Agency'!U242*Inflator!#REF!</f>
        <v>#REF!</v>
      </c>
      <c r="V239" s="315"/>
      <c r="W239" s="394"/>
      <c r="X239" s="204" t="e">
        <f>'FY 2016 by Agency'!X242*Inflator!#REF!</f>
        <v>#REF!</v>
      </c>
      <c r="Y239" s="206"/>
      <c r="Z239" s="304"/>
      <c r="AA239" s="204" t="e">
        <f>'FY 2016 by Agency'!AA242*Inflator!#REF!</f>
        <v>#REF!</v>
      </c>
      <c r="AB239" s="206"/>
      <c r="AC239" s="200"/>
      <c r="AD239" s="204" t="e">
        <f>'FY 2016 by Agency'!AD242*Inflator!#REF!</f>
        <v>#REF!</v>
      </c>
      <c r="AE239" s="201"/>
      <c r="AF239" s="202"/>
      <c r="AG239" s="202"/>
      <c r="AH239" s="202"/>
      <c r="AI239" s="202"/>
      <c r="AJ239" s="454">
        <v>0</v>
      </c>
      <c r="AK239" s="454">
        <v>0</v>
      </c>
      <c r="AL239" s="454">
        <v>0</v>
      </c>
      <c r="AM239" s="455">
        <f t="shared" ref="AM239:AM249" si="295">SUM(AJ239:AL239)</f>
        <v>0</v>
      </c>
      <c r="AN239" s="374">
        <f t="shared" si="291"/>
        <v>0</v>
      </c>
      <c r="AO239" s="433"/>
      <c r="AP239" s="458">
        <v>0</v>
      </c>
      <c r="AQ239" s="458">
        <v>0</v>
      </c>
      <c r="AR239" s="458">
        <v>0</v>
      </c>
      <c r="AS239" s="457">
        <f t="shared" ref="AS239:AS249" si="296">SUM(AP239:AR239)</f>
        <v>0</v>
      </c>
      <c r="AT239" s="204">
        <f t="shared" si="292"/>
        <v>0</v>
      </c>
      <c r="AU239" s="413"/>
      <c r="AV239" s="433"/>
      <c r="AW239" s="423">
        <v>54356</v>
      </c>
      <c r="BD239" s="322"/>
      <c r="BE239" s="322"/>
      <c r="BI239" s="318"/>
      <c r="BK239" s="442"/>
      <c r="BL239" s="435">
        <f>'FY 2016 by Agency'!AS243*Inflator!$E$13</f>
        <v>0</v>
      </c>
      <c r="BM239" s="315">
        <f>'FY 2016 by Agency'!AT243*Inflator!$E$13</f>
        <v>0</v>
      </c>
      <c r="BN239" s="339" t="e">
        <f t="shared" si="293"/>
        <v>#DIV/0!</v>
      </c>
      <c r="BP239" s="204">
        <f t="shared" si="281"/>
        <v>0</v>
      </c>
      <c r="BQ239" s="66" t="e">
        <f t="shared" si="282"/>
        <v>#DIV/0!</v>
      </c>
      <c r="BR239" s="204">
        <f>'FY 2016 by Agency'!BE242*Inflator!$E$14</f>
        <v>0</v>
      </c>
      <c r="BS239" s="204">
        <f t="shared" si="283"/>
        <v>0</v>
      </c>
      <c r="BT239" s="66" t="e">
        <f t="shared" si="284"/>
        <v>#DIV/0!</v>
      </c>
      <c r="BU239" s="315">
        <f>'FY 2016 by Agency'!BL243*Inflator!$E$14</f>
        <v>0</v>
      </c>
      <c r="BV239" s="315">
        <f>'FY 2016 by Agency'!BM243*Inflator!$E$14</f>
        <v>0</v>
      </c>
      <c r="BW239" s="206"/>
      <c r="BY239" s="206"/>
      <c r="BZ239" s="206">
        <f t="shared" si="275"/>
        <v>0</v>
      </c>
      <c r="CA239" s="199" t="e">
        <f t="shared" si="276"/>
        <v>#DIV/0!</v>
      </c>
      <c r="CC239" s="206">
        <f t="shared" si="294"/>
        <v>0</v>
      </c>
      <c r="CD239" s="316"/>
      <c r="CG239" s="679"/>
    </row>
    <row r="240" spans="1:88" s="317" customFormat="1" ht="18" customHeight="1" x14ac:dyDescent="0.25">
      <c r="A240" s="68"/>
      <c r="B240" s="302" t="e">
        <f>'FY 2016 by Agency'!B243*Inflator!#REF!</f>
        <v>#REF!</v>
      </c>
      <c r="C240" s="302" t="e">
        <f>'FY 2016 by Agency'!C243*Inflator!#REF!</f>
        <v>#REF!</v>
      </c>
      <c r="D240" s="302" t="e">
        <f t="shared" si="277"/>
        <v>#REF!</v>
      </c>
      <c r="E240" s="303" t="e">
        <f t="shared" si="286"/>
        <v>#REF!</v>
      </c>
      <c r="F240" s="204" t="e">
        <f>'FY 2016 by Agency'!F243*Inflator!#REF!</f>
        <v>#REF!</v>
      </c>
      <c r="G240" s="204" t="e">
        <f t="shared" si="278"/>
        <v>#REF!</v>
      </c>
      <c r="H240" s="199" t="e">
        <f t="shared" si="287"/>
        <v>#REF!</v>
      </c>
      <c r="I240" s="204" t="e">
        <f>'FY 2016 by Agency'!I243*Inflator!#REF!</f>
        <v>#REF!</v>
      </c>
      <c r="J240" s="204" t="e">
        <f t="shared" si="279"/>
        <v>#REF!</v>
      </c>
      <c r="K240" s="199" t="e">
        <f t="shared" si="288"/>
        <v>#REF!</v>
      </c>
      <c r="L240" s="204" t="e">
        <f>'FY 2016 by Agency'!L243*Inflator!#REF!</f>
        <v>#REF!</v>
      </c>
      <c r="M240" s="204" t="e">
        <f t="shared" si="280"/>
        <v>#REF!</v>
      </c>
      <c r="N240" s="199" t="e">
        <f t="shared" si="289"/>
        <v>#REF!</v>
      </c>
      <c r="O240" s="204" t="e">
        <f>'FY 2016 by Agency'!O243*Inflator!#REF!</f>
        <v>#REF!</v>
      </c>
      <c r="P240" s="315"/>
      <c r="Q240" s="394"/>
      <c r="R240" s="204" t="e">
        <f>'FY 2016 by Agency'!R243*Inflator!#REF!</f>
        <v>#REF!</v>
      </c>
      <c r="S240" s="204"/>
      <c r="T240" s="394"/>
      <c r="U240" s="204" t="e">
        <f>'FY 2016 by Agency'!U243*Inflator!#REF!</f>
        <v>#REF!</v>
      </c>
      <c r="V240" s="315"/>
      <c r="W240" s="394"/>
      <c r="X240" s="204" t="e">
        <f>'FY 2016 by Agency'!X243*Inflator!#REF!</f>
        <v>#REF!</v>
      </c>
      <c r="Y240" s="206"/>
      <c r="Z240" s="304"/>
      <c r="AA240" s="204" t="e">
        <f>'FY 2016 by Agency'!AA243*Inflator!#REF!</f>
        <v>#REF!</v>
      </c>
      <c r="AB240" s="206"/>
      <c r="AC240" s="200"/>
      <c r="AD240" s="204" t="e">
        <f>'FY 2016 by Agency'!AD243*Inflator!#REF!</f>
        <v>#REF!</v>
      </c>
      <c r="AE240" s="201"/>
      <c r="AF240" s="202"/>
      <c r="AG240" s="202"/>
      <c r="AH240" s="202"/>
      <c r="AI240" s="202"/>
      <c r="AJ240" s="454"/>
      <c r="AK240" s="454"/>
      <c r="AL240" s="459">
        <v>265000000</v>
      </c>
      <c r="AM240" s="455">
        <f t="shared" si="295"/>
        <v>265000000</v>
      </c>
      <c r="AN240" s="374">
        <f t="shared" si="291"/>
        <v>0</v>
      </c>
      <c r="AO240" s="433"/>
      <c r="AP240" s="456"/>
      <c r="AQ240" s="456"/>
      <c r="AR240" s="456">
        <v>250000000</v>
      </c>
      <c r="AS240" s="457">
        <f t="shared" si="296"/>
        <v>250000000</v>
      </c>
      <c r="AT240" s="204">
        <f t="shared" si="292"/>
        <v>265000</v>
      </c>
      <c r="AU240" s="413"/>
      <c r="AV240" s="433"/>
      <c r="AW240" s="423">
        <v>250000</v>
      </c>
      <c r="BD240" s="322"/>
      <c r="BE240" s="322"/>
      <c r="BI240" s="318"/>
      <c r="BK240" s="442"/>
      <c r="BL240" s="435">
        <f>'FY 2016 by Agency'!AS244*Inflator!$E$13</f>
        <v>0</v>
      </c>
      <c r="BM240" s="315">
        <f>'FY 2016 by Agency'!AT244*Inflator!$E$13</f>
        <v>0</v>
      </c>
      <c r="BN240" s="339" t="e">
        <f t="shared" si="293"/>
        <v>#DIV/0!</v>
      </c>
      <c r="BP240" s="204">
        <f t="shared" si="281"/>
        <v>0</v>
      </c>
      <c r="BQ240" s="66" t="e">
        <f t="shared" si="282"/>
        <v>#DIV/0!</v>
      </c>
      <c r="BR240" s="204">
        <f>'FY 2016 by Agency'!BE243*Inflator!$E$14</f>
        <v>0</v>
      </c>
      <c r="BS240" s="204">
        <f t="shared" si="283"/>
        <v>0</v>
      </c>
      <c r="BT240" s="66" t="e">
        <f t="shared" si="284"/>
        <v>#DIV/0!</v>
      </c>
      <c r="BU240" s="315">
        <f>'FY 2016 by Agency'!BL244*Inflator!$E$14</f>
        <v>0</v>
      </c>
      <c r="BV240" s="315">
        <f>'FY 2016 by Agency'!BM244*Inflator!$E$14</f>
        <v>0</v>
      </c>
      <c r="BW240" s="206"/>
      <c r="BY240" s="206"/>
      <c r="BZ240" s="206">
        <f t="shared" si="275"/>
        <v>0</v>
      </c>
      <c r="CA240" s="199" t="e">
        <f t="shared" si="276"/>
        <v>#DIV/0!</v>
      </c>
      <c r="CC240" s="206">
        <f t="shared" si="294"/>
        <v>0</v>
      </c>
      <c r="CD240" s="316"/>
      <c r="CG240" s="679"/>
    </row>
    <row r="241" spans="1:88" s="317" customFormat="1" ht="18" customHeight="1" x14ac:dyDescent="0.25">
      <c r="A241" s="68"/>
      <c r="B241" s="302" t="e">
        <f>'FY 2016 by Agency'!B244*Inflator!#REF!</f>
        <v>#REF!</v>
      </c>
      <c r="C241" s="302" t="e">
        <f>'FY 2016 by Agency'!C244*Inflator!#REF!</f>
        <v>#REF!</v>
      </c>
      <c r="D241" s="302" t="e">
        <f t="shared" si="277"/>
        <v>#REF!</v>
      </c>
      <c r="E241" s="303" t="e">
        <f t="shared" si="286"/>
        <v>#REF!</v>
      </c>
      <c r="F241" s="204" t="e">
        <f>'FY 2016 by Agency'!F244*Inflator!#REF!</f>
        <v>#REF!</v>
      </c>
      <c r="G241" s="204" t="e">
        <f t="shared" si="278"/>
        <v>#REF!</v>
      </c>
      <c r="H241" s="199" t="e">
        <f t="shared" si="287"/>
        <v>#REF!</v>
      </c>
      <c r="I241" s="204" t="e">
        <f>'FY 2016 by Agency'!I244*Inflator!#REF!</f>
        <v>#REF!</v>
      </c>
      <c r="J241" s="204" t="e">
        <f t="shared" si="279"/>
        <v>#REF!</v>
      </c>
      <c r="K241" s="199" t="e">
        <f t="shared" si="288"/>
        <v>#REF!</v>
      </c>
      <c r="L241" s="204" t="e">
        <f>'FY 2016 by Agency'!L244*Inflator!#REF!</f>
        <v>#REF!</v>
      </c>
      <c r="M241" s="204" t="e">
        <f t="shared" si="280"/>
        <v>#REF!</v>
      </c>
      <c r="N241" s="199" t="e">
        <f t="shared" si="289"/>
        <v>#REF!</v>
      </c>
      <c r="O241" s="204" t="e">
        <f>'FY 2016 by Agency'!O244*Inflator!#REF!</f>
        <v>#REF!</v>
      </c>
      <c r="P241" s="315"/>
      <c r="Q241" s="394"/>
      <c r="R241" s="204" t="e">
        <f>'FY 2016 by Agency'!R244*Inflator!#REF!</f>
        <v>#REF!</v>
      </c>
      <c r="S241" s="204"/>
      <c r="T241" s="394"/>
      <c r="U241" s="204" t="e">
        <f>'FY 2016 by Agency'!U244*Inflator!#REF!</f>
        <v>#REF!</v>
      </c>
      <c r="V241" s="315"/>
      <c r="W241" s="394"/>
      <c r="X241" s="204" t="e">
        <f>'FY 2016 by Agency'!X244*Inflator!#REF!</f>
        <v>#REF!</v>
      </c>
      <c r="Y241" s="206"/>
      <c r="Z241" s="304"/>
      <c r="AA241" s="204" t="e">
        <f>'FY 2016 by Agency'!AA244*Inflator!#REF!</f>
        <v>#REF!</v>
      </c>
      <c r="AB241" s="206"/>
      <c r="AC241" s="200"/>
      <c r="AD241" s="204" t="e">
        <f>'FY 2016 by Agency'!AD244*Inflator!#REF!</f>
        <v>#REF!</v>
      </c>
      <c r="AE241" s="201"/>
      <c r="AF241" s="202"/>
      <c r="AG241" s="202"/>
      <c r="AH241" s="202"/>
      <c r="AI241" s="202"/>
      <c r="AJ241" s="454"/>
      <c r="AK241" s="454"/>
      <c r="AL241" s="459">
        <v>7603350</v>
      </c>
      <c r="AM241" s="455">
        <f t="shared" si="295"/>
        <v>7603350</v>
      </c>
      <c r="AN241" s="374">
        <f t="shared" si="291"/>
        <v>0</v>
      </c>
      <c r="AO241" s="433"/>
      <c r="AP241" s="456"/>
      <c r="AQ241" s="456"/>
      <c r="AR241" s="456">
        <v>8747725</v>
      </c>
      <c r="AS241" s="457">
        <f t="shared" si="296"/>
        <v>8747725</v>
      </c>
      <c r="AT241" s="204">
        <f t="shared" si="292"/>
        <v>7603.35</v>
      </c>
      <c r="AU241" s="413"/>
      <c r="AV241" s="433"/>
      <c r="AW241" s="423">
        <v>0</v>
      </c>
      <c r="BD241" s="322"/>
      <c r="BE241" s="322"/>
      <c r="BI241" s="318"/>
      <c r="BK241" s="442"/>
      <c r="BL241" s="435">
        <f>'FY 2016 by Agency'!AS245*Inflator!$E$13</f>
        <v>0</v>
      </c>
      <c r="BM241" s="315">
        <f>'FY 2016 by Agency'!AT245*Inflator!$E$13</f>
        <v>0</v>
      </c>
      <c r="BN241" s="339" t="e">
        <f t="shared" si="293"/>
        <v>#DIV/0!</v>
      </c>
      <c r="BP241" s="204">
        <f t="shared" si="281"/>
        <v>0</v>
      </c>
      <c r="BQ241" s="66" t="e">
        <f t="shared" si="282"/>
        <v>#DIV/0!</v>
      </c>
      <c r="BR241" s="204">
        <f>'FY 2016 by Agency'!BE244*Inflator!$E$14</f>
        <v>0</v>
      </c>
      <c r="BS241" s="204">
        <f t="shared" si="283"/>
        <v>0</v>
      </c>
      <c r="BT241" s="66" t="e">
        <f t="shared" si="284"/>
        <v>#DIV/0!</v>
      </c>
      <c r="BU241" s="315">
        <f>'FY 2016 by Agency'!BL245*Inflator!$E$14</f>
        <v>0</v>
      </c>
      <c r="BV241" s="315">
        <f>'FY 2016 by Agency'!BM245*Inflator!$E$14</f>
        <v>0</v>
      </c>
      <c r="BW241" s="206"/>
      <c r="BY241" s="206"/>
      <c r="BZ241" s="206">
        <f t="shared" si="275"/>
        <v>0</v>
      </c>
      <c r="CA241" s="199" t="e">
        <f t="shared" si="276"/>
        <v>#DIV/0!</v>
      </c>
      <c r="CC241" s="206">
        <f t="shared" si="294"/>
        <v>0</v>
      </c>
      <c r="CD241" s="316"/>
      <c r="CG241" s="679"/>
    </row>
    <row r="242" spans="1:88" s="317" customFormat="1" ht="18" customHeight="1" x14ac:dyDescent="0.25">
      <c r="A242" s="68"/>
      <c r="B242" s="302" t="e">
        <f>'FY 2016 by Agency'!B245*Inflator!#REF!</f>
        <v>#REF!</v>
      </c>
      <c r="C242" s="302" t="e">
        <f>'FY 2016 by Agency'!C245*Inflator!#REF!</f>
        <v>#REF!</v>
      </c>
      <c r="D242" s="302" t="e">
        <f t="shared" si="277"/>
        <v>#REF!</v>
      </c>
      <c r="E242" s="303" t="e">
        <f t="shared" si="286"/>
        <v>#REF!</v>
      </c>
      <c r="F242" s="204" t="e">
        <f>'FY 2016 by Agency'!F245*Inflator!#REF!</f>
        <v>#REF!</v>
      </c>
      <c r="G242" s="204" t="e">
        <f t="shared" si="278"/>
        <v>#REF!</v>
      </c>
      <c r="H242" s="199" t="e">
        <f t="shared" si="287"/>
        <v>#REF!</v>
      </c>
      <c r="I242" s="204" t="e">
        <f>'FY 2016 by Agency'!I245*Inflator!#REF!</f>
        <v>#REF!</v>
      </c>
      <c r="J242" s="204" t="e">
        <f t="shared" si="279"/>
        <v>#REF!</v>
      </c>
      <c r="K242" s="199" t="e">
        <f t="shared" si="288"/>
        <v>#REF!</v>
      </c>
      <c r="L242" s="204" t="e">
        <f>'FY 2016 by Agency'!L245*Inflator!#REF!</f>
        <v>#REF!</v>
      </c>
      <c r="M242" s="204" t="e">
        <f t="shared" si="280"/>
        <v>#REF!</v>
      </c>
      <c r="N242" s="199" t="e">
        <f t="shared" si="289"/>
        <v>#REF!</v>
      </c>
      <c r="O242" s="204" t="e">
        <f>'FY 2016 by Agency'!O245*Inflator!#REF!</f>
        <v>#REF!</v>
      </c>
      <c r="P242" s="315"/>
      <c r="Q242" s="394"/>
      <c r="R242" s="204" t="e">
        <f>'FY 2016 by Agency'!R245*Inflator!#REF!</f>
        <v>#REF!</v>
      </c>
      <c r="S242" s="204"/>
      <c r="T242" s="394"/>
      <c r="U242" s="204" t="e">
        <f>'FY 2016 by Agency'!U245*Inflator!#REF!</f>
        <v>#REF!</v>
      </c>
      <c r="V242" s="315"/>
      <c r="W242" s="394"/>
      <c r="X242" s="204" t="e">
        <f>'FY 2016 by Agency'!X245*Inflator!#REF!</f>
        <v>#REF!</v>
      </c>
      <c r="Y242" s="206"/>
      <c r="Z242" s="304"/>
      <c r="AA242" s="204" t="e">
        <f>'FY 2016 by Agency'!AA245*Inflator!#REF!</f>
        <v>#REF!</v>
      </c>
      <c r="AB242" s="206"/>
      <c r="AC242" s="200"/>
      <c r="AD242" s="204" t="e">
        <f>'FY 2016 by Agency'!AD245*Inflator!#REF!</f>
        <v>#REF!</v>
      </c>
      <c r="AE242" s="201"/>
      <c r="AF242" s="202"/>
      <c r="AG242" s="202"/>
      <c r="AH242" s="202"/>
      <c r="AI242" s="202"/>
      <c r="AJ242" s="454">
        <v>0</v>
      </c>
      <c r="AK242" s="454">
        <v>0</v>
      </c>
      <c r="AL242" s="460">
        <v>0</v>
      </c>
      <c r="AM242" s="455">
        <f t="shared" si="295"/>
        <v>0</v>
      </c>
      <c r="AN242" s="374">
        <f t="shared" si="291"/>
        <v>0</v>
      </c>
      <c r="AO242" s="433"/>
      <c r="AP242" s="458">
        <v>0</v>
      </c>
      <c r="AQ242" s="458">
        <v>0</v>
      </c>
      <c r="AR242" s="458">
        <v>0</v>
      </c>
      <c r="AS242" s="457">
        <f t="shared" si="296"/>
        <v>0</v>
      </c>
      <c r="AT242" s="204">
        <f t="shared" si="292"/>
        <v>0</v>
      </c>
      <c r="AU242" s="413"/>
      <c r="AV242" s="433"/>
      <c r="AW242" s="423">
        <v>30622</v>
      </c>
      <c r="BD242" s="322"/>
      <c r="BE242" s="322"/>
      <c r="BI242" s="318"/>
      <c r="BK242" s="442"/>
      <c r="BL242" s="435">
        <f>'FY 2016 by Agency'!AS246*Inflator!$E$13</f>
        <v>0</v>
      </c>
      <c r="BM242" s="315">
        <f>'FY 2016 by Agency'!AT246*Inflator!$E$13</f>
        <v>0</v>
      </c>
      <c r="BN242" s="339" t="e">
        <f t="shared" si="293"/>
        <v>#DIV/0!</v>
      </c>
      <c r="BP242" s="204">
        <f t="shared" si="281"/>
        <v>0</v>
      </c>
      <c r="BQ242" s="66" t="e">
        <f t="shared" si="282"/>
        <v>#DIV/0!</v>
      </c>
      <c r="BR242" s="204">
        <f>'FY 2016 by Agency'!BE245*Inflator!$E$14</f>
        <v>0</v>
      </c>
      <c r="BS242" s="204">
        <f t="shared" si="283"/>
        <v>0</v>
      </c>
      <c r="BT242" s="66" t="e">
        <f t="shared" si="284"/>
        <v>#DIV/0!</v>
      </c>
      <c r="BU242" s="315">
        <f>'FY 2016 by Agency'!BL246*Inflator!$E$14</f>
        <v>0</v>
      </c>
      <c r="BV242" s="315">
        <f>'FY 2016 by Agency'!BM246*Inflator!$E$14</f>
        <v>0</v>
      </c>
      <c r="BW242" s="206"/>
      <c r="BY242" s="206"/>
      <c r="BZ242" s="206">
        <f t="shared" si="275"/>
        <v>0</v>
      </c>
      <c r="CA242" s="199" t="e">
        <f t="shared" si="276"/>
        <v>#DIV/0!</v>
      </c>
      <c r="CC242" s="206">
        <f t="shared" si="294"/>
        <v>0</v>
      </c>
      <c r="CD242" s="316"/>
      <c r="CG242" s="679"/>
    </row>
    <row r="243" spans="1:88" s="317" customFormat="1" ht="18" customHeight="1" x14ac:dyDescent="0.25">
      <c r="A243" s="68"/>
      <c r="B243" s="302" t="e">
        <f>'FY 2016 by Agency'!B246*Inflator!#REF!</f>
        <v>#REF!</v>
      </c>
      <c r="C243" s="302" t="e">
        <f>'FY 2016 by Agency'!C246*Inflator!#REF!</f>
        <v>#REF!</v>
      </c>
      <c r="D243" s="302" t="e">
        <f t="shared" si="277"/>
        <v>#REF!</v>
      </c>
      <c r="E243" s="303" t="e">
        <f t="shared" si="286"/>
        <v>#REF!</v>
      </c>
      <c r="F243" s="204" t="e">
        <f>'FY 2016 by Agency'!F246*Inflator!#REF!</f>
        <v>#REF!</v>
      </c>
      <c r="G243" s="204" t="e">
        <f t="shared" si="278"/>
        <v>#REF!</v>
      </c>
      <c r="H243" s="199" t="e">
        <f t="shared" si="287"/>
        <v>#REF!</v>
      </c>
      <c r="I243" s="204" t="e">
        <f>'FY 2016 by Agency'!I246*Inflator!#REF!</f>
        <v>#REF!</v>
      </c>
      <c r="J243" s="204" t="e">
        <f t="shared" si="279"/>
        <v>#REF!</v>
      </c>
      <c r="K243" s="199" t="e">
        <f t="shared" si="288"/>
        <v>#REF!</v>
      </c>
      <c r="L243" s="204" t="e">
        <f>'FY 2016 by Agency'!L246*Inflator!#REF!</f>
        <v>#REF!</v>
      </c>
      <c r="M243" s="204" t="e">
        <f t="shared" si="280"/>
        <v>#REF!</v>
      </c>
      <c r="N243" s="199" t="e">
        <f t="shared" si="289"/>
        <v>#REF!</v>
      </c>
      <c r="O243" s="204" t="e">
        <f>'FY 2016 by Agency'!O246*Inflator!#REF!</f>
        <v>#REF!</v>
      </c>
      <c r="P243" s="315"/>
      <c r="Q243" s="394"/>
      <c r="R243" s="204" t="e">
        <f>'FY 2016 by Agency'!R246*Inflator!#REF!</f>
        <v>#REF!</v>
      </c>
      <c r="S243" s="204"/>
      <c r="T243" s="394"/>
      <c r="U243" s="204" t="e">
        <f>'FY 2016 by Agency'!U246*Inflator!#REF!</f>
        <v>#REF!</v>
      </c>
      <c r="V243" s="315"/>
      <c r="W243" s="394"/>
      <c r="X243" s="204" t="e">
        <f>'FY 2016 by Agency'!X246*Inflator!#REF!</f>
        <v>#REF!</v>
      </c>
      <c r="Y243" s="206"/>
      <c r="Z243" s="304"/>
      <c r="AA243" s="204" t="e">
        <f>'FY 2016 by Agency'!AA246*Inflator!#REF!</f>
        <v>#REF!</v>
      </c>
      <c r="AB243" s="206"/>
      <c r="AC243" s="200"/>
      <c r="AD243" s="204" t="e">
        <f>'FY 2016 by Agency'!AD246*Inflator!#REF!</f>
        <v>#REF!</v>
      </c>
      <c r="AE243" s="201"/>
      <c r="AF243" s="202"/>
      <c r="AG243" s="202"/>
      <c r="AH243" s="202"/>
      <c r="AI243" s="202"/>
      <c r="AJ243" s="454" t="s">
        <v>486</v>
      </c>
      <c r="AK243" s="454"/>
      <c r="AL243" s="454"/>
      <c r="AM243" s="455"/>
      <c r="AN243" s="374">
        <f t="shared" si="291"/>
        <v>0</v>
      </c>
      <c r="AO243" s="433"/>
      <c r="AP243" s="456"/>
      <c r="AQ243" s="456"/>
      <c r="AR243" s="456"/>
      <c r="AS243" s="457"/>
      <c r="AT243" s="204">
        <f t="shared" si="292"/>
        <v>0</v>
      </c>
      <c r="AU243" s="413"/>
      <c r="AV243" s="433"/>
      <c r="AW243" s="423">
        <v>97059</v>
      </c>
      <c r="BD243" s="322"/>
      <c r="BE243" s="322"/>
      <c r="BI243" s="318"/>
      <c r="BK243" s="442"/>
      <c r="BL243" s="435">
        <f>'FY 2016 by Agency'!AS247*Inflator!$E$13</f>
        <v>0</v>
      </c>
      <c r="BM243" s="315">
        <f>'FY 2016 by Agency'!AT247*Inflator!$E$13</f>
        <v>0</v>
      </c>
      <c r="BN243" s="339" t="e">
        <f t="shared" si="293"/>
        <v>#DIV/0!</v>
      </c>
      <c r="BP243" s="204">
        <f t="shared" si="281"/>
        <v>0</v>
      </c>
      <c r="BQ243" s="66" t="e">
        <f t="shared" si="282"/>
        <v>#DIV/0!</v>
      </c>
      <c r="BR243" s="204">
        <f>'FY 2016 by Agency'!BE246*Inflator!$E$14</f>
        <v>0</v>
      </c>
      <c r="BS243" s="204">
        <f t="shared" si="283"/>
        <v>0</v>
      </c>
      <c r="BT243" s="66" t="e">
        <f t="shared" si="284"/>
        <v>#DIV/0!</v>
      </c>
      <c r="BU243" s="315">
        <f>'FY 2016 by Agency'!BL247*Inflator!$E$14</f>
        <v>0</v>
      </c>
      <c r="BV243" s="315">
        <f>'FY 2016 by Agency'!BM247*Inflator!$E$14</f>
        <v>0</v>
      </c>
      <c r="BW243" s="206"/>
      <c r="BY243" s="206"/>
      <c r="BZ243" s="206">
        <f t="shared" si="275"/>
        <v>0</v>
      </c>
      <c r="CA243" s="199" t="e">
        <f t="shared" si="276"/>
        <v>#DIV/0!</v>
      </c>
      <c r="CC243" s="206">
        <f t="shared" si="294"/>
        <v>0</v>
      </c>
      <c r="CD243" s="316"/>
      <c r="CG243" s="679"/>
    </row>
    <row r="244" spans="1:88" s="317" customFormat="1" ht="18" customHeight="1" x14ac:dyDescent="0.25">
      <c r="A244" s="68"/>
      <c r="B244" s="302" t="e">
        <f>'FY 2016 by Agency'!B247*Inflator!#REF!</f>
        <v>#REF!</v>
      </c>
      <c r="C244" s="302" t="e">
        <f>'FY 2016 by Agency'!C247*Inflator!#REF!</f>
        <v>#REF!</v>
      </c>
      <c r="D244" s="302" t="e">
        <f t="shared" si="277"/>
        <v>#REF!</v>
      </c>
      <c r="E244" s="303" t="e">
        <f t="shared" si="286"/>
        <v>#REF!</v>
      </c>
      <c r="F244" s="204" t="e">
        <f>'FY 2016 by Agency'!F247*Inflator!#REF!</f>
        <v>#REF!</v>
      </c>
      <c r="G244" s="204" t="e">
        <f t="shared" si="278"/>
        <v>#REF!</v>
      </c>
      <c r="H244" s="199" t="e">
        <f t="shared" si="287"/>
        <v>#REF!</v>
      </c>
      <c r="I244" s="204" t="e">
        <f>'FY 2016 by Agency'!I247*Inflator!#REF!</f>
        <v>#REF!</v>
      </c>
      <c r="J244" s="204" t="e">
        <f t="shared" si="279"/>
        <v>#REF!</v>
      </c>
      <c r="K244" s="199" t="e">
        <f t="shared" si="288"/>
        <v>#REF!</v>
      </c>
      <c r="L244" s="204" t="e">
        <f>'FY 2016 by Agency'!L247*Inflator!#REF!</f>
        <v>#REF!</v>
      </c>
      <c r="M244" s="204" t="e">
        <f t="shared" si="280"/>
        <v>#REF!</v>
      </c>
      <c r="N244" s="199" t="e">
        <f t="shared" si="289"/>
        <v>#REF!</v>
      </c>
      <c r="O244" s="204" t="e">
        <f>'FY 2016 by Agency'!O247*Inflator!#REF!</f>
        <v>#REF!</v>
      </c>
      <c r="P244" s="315"/>
      <c r="Q244" s="394"/>
      <c r="R244" s="204" t="e">
        <f>'FY 2016 by Agency'!R247*Inflator!#REF!</f>
        <v>#REF!</v>
      </c>
      <c r="S244" s="204"/>
      <c r="T244" s="394"/>
      <c r="U244" s="204" t="e">
        <f>'FY 2016 by Agency'!U247*Inflator!#REF!</f>
        <v>#REF!</v>
      </c>
      <c r="V244" s="315"/>
      <c r="W244" s="394"/>
      <c r="X244" s="204" t="e">
        <f>'FY 2016 by Agency'!X247*Inflator!#REF!</f>
        <v>#REF!</v>
      </c>
      <c r="Y244" s="206"/>
      <c r="Z244" s="304"/>
      <c r="AA244" s="204" t="e">
        <f>'FY 2016 by Agency'!AA247*Inflator!#REF!</f>
        <v>#REF!</v>
      </c>
      <c r="AB244" s="206"/>
      <c r="AC244" s="200"/>
      <c r="AD244" s="204" t="e">
        <f>'FY 2016 by Agency'!AD247*Inflator!#REF!</f>
        <v>#REF!</v>
      </c>
      <c r="AE244" s="201"/>
      <c r="AF244" s="202"/>
      <c r="AG244" s="202"/>
      <c r="AH244" s="202"/>
      <c r="AI244" s="202"/>
      <c r="AJ244" s="454"/>
      <c r="AK244" s="454"/>
      <c r="AL244" s="459">
        <v>7919000</v>
      </c>
      <c r="AM244" s="455">
        <f t="shared" si="295"/>
        <v>7919000</v>
      </c>
      <c r="AN244" s="374">
        <f t="shared" si="291"/>
        <v>0</v>
      </c>
      <c r="AO244" s="433"/>
      <c r="AP244" s="456"/>
      <c r="AQ244" s="456"/>
      <c r="AR244" s="456">
        <v>8894000</v>
      </c>
      <c r="AS244" s="457">
        <f t="shared" si="296"/>
        <v>8894000</v>
      </c>
      <c r="AT244" s="204">
        <f t="shared" si="292"/>
        <v>7919</v>
      </c>
      <c r="AU244" s="413"/>
      <c r="AV244" s="433"/>
      <c r="AW244" s="423">
        <v>8894</v>
      </c>
      <c r="BD244" s="322"/>
      <c r="BE244" s="322"/>
      <c r="BI244" s="318"/>
      <c r="BK244" s="442"/>
      <c r="BL244" s="435">
        <f>'FY 2016 by Agency'!AS248*Inflator!$E$13</f>
        <v>0</v>
      </c>
      <c r="BM244" s="315">
        <f>'FY 2016 by Agency'!AT248*Inflator!$E$13</f>
        <v>0</v>
      </c>
      <c r="BN244" s="339" t="e">
        <f t="shared" si="293"/>
        <v>#DIV/0!</v>
      </c>
      <c r="BP244" s="204">
        <f t="shared" si="281"/>
        <v>0</v>
      </c>
      <c r="BQ244" s="66" t="e">
        <f t="shared" si="282"/>
        <v>#DIV/0!</v>
      </c>
      <c r="BR244" s="204">
        <f>'FY 2016 by Agency'!BE247*Inflator!$E$14</f>
        <v>0</v>
      </c>
      <c r="BS244" s="204">
        <f t="shared" si="283"/>
        <v>0</v>
      </c>
      <c r="BT244" s="66" t="e">
        <f t="shared" si="284"/>
        <v>#DIV/0!</v>
      </c>
      <c r="BU244" s="315">
        <f>'FY 2016 by Agency'!BL248*Inflator!$E$14</f>
        <v>0</v>
      </c>
      <c r="BV244" s="315">
        <f>'FY 2016 by Agency'!BM248*Inflator!$E$14</f>
        <v>0</v>
      </c>
      <c r="BW244" s="206"/>
      <c r="BY244" s="206"/>
      <c r="BZ244" s="206">
        <f t="shared" si="275"/>
        <v>0</v>
      </c>
      <c r="CA244" s="199" t="e">
        <f t="shared" si="276"/>
        <v>#DIV/0!</v>
      </c>
      <c r="CC244" s="206">
        <f t="shared" si="294"/>
        <v>0</v>
      </c>
      <c r="CD244" s="316"/>
      <c r="CG244" s="679"/>
    </row>
    <row r="245" spans="1:88" s="317" customFormat="1" ht="18" customHeight="1" x14ac:dyDescent="0.25">
      <c r="A245" s="68"/>
      <c r="B245" s="302" t="e">
        <f>'FY 2016 by Agency'!B248*Inflator!#REF!</f>
        <v>#REF!</v>
      </c>
      <c r="C245" s="302" t="e">
        <f>'FY 2016 by Agency'!C248*Inflator!#REF!</f>
        <v>#REF!</v>
      </c>
      <c r="D245" s="302" t="e">
        <f t="shared" si="277"/>
        <v>#REF!</v>
      </c>
      <c r="E245" s="303" t="e">
        <f t="shared" si="286"/>
        <v>#REF!</v>
      </c>
      <c r="F245" s="204" t="e">
        <f>'FY 2016 by Agency'!F248*Inflator!#REF!</f>
        <v>#REF!</v>
      </c>
      <c r="G245" s="204" t="e">
        <f t="shared" si="278"/>
        <v>#REF!</v>
      </c>
      <c r="H245" s="199" t="e">
        <f t="shared" si="287"/>
        <v>#REF!</v>
      </c>
      <c r="I245" s="204" t="e">
        <f>'FY 2016 by Agency'!I248*Inflator!#REF!</f>
        <v>#REF!</v>
      </c>
      <c r="J245" s="204" t="e">
        <f t="shared" si="279"/>
        <v>#REF!</v>
      </c>
      <c r="K245" s="199" t="e">
        <f t="shared" si="288"/>
        <v>#REF!</v>
      </c>
      <c r="L245" s="204" t="e">
        <f>'FY 2016 by Agency'!L248*Inflator!#REF!</f>
        <v>#REF!</v>
      </c>
      <c r="M245" s="204" t="e">
        <f t="shared" si="280"/>
        <v>#REF!</v>
      </c>
      <c r="N245" s="199" t="e">
        <f t="shared" si="289"/>
        <v>#REF!</v>
      </c>
      <c r="O245" s="204" t="e">
        <f>'FY 2016 by Agency'!O248*Inflator!#REF!</f>
        <v>#REF!</v>
      </c>
      <c r="P245" s="315"/>
      <c r="Q245" s="394"/>
      <c r="R245" s="204" t="e">
        <f>'FY 2016 by Agency'!R248*Inflator!#REF!</f>
        <v>#REF!</v>
      </c>
      <c r="S245" s="204"/>
      <c r="T245" s="394"/>
      <c r="U245" s="204" t="e">
        <f>'FY 2016 by Agency'!U248*Inflator!#REF!</f>
        <v>#REF!</v>
      </c>
      <c r="V245" s="315"/>
      <c r="W245" s="394"/>
      <c r="X245" s="204" t="e">
        <f>'FY 2016 by Agency'!X248*Inflator!#REF!</f>
        <v>#REF!</v>
      </c>
      <c r="Y245" s="206"/>
      <c r="Z245" s="304"/>
      <c r="AA245" s="204" t="e">
        <f>'FY 2016 by Agency'!AA248*Inflator!#REF!</f>
        <v>#REF!</v>
      </c>
      <c r="AB245" s="206"/>
      <c r="AC245" s="200"/>
      <c r="AD245" s="204" t="e">
        <f>'FY 2016 by Agency'!AD248*Inflator!#REF!</f>
        <v>#REF!</v>
      </c>
      <c r="AE245" s="201"/>
      <c r="AF245" s="202"/>
      <c r="AG245" s="202"/>
      <c r="AH245" s="202"/>
      <c r="AI245" s="202"/>
      <c r="AJ245" s="459">
        <v>62070000</v>
      </c>
      <c r="AK245" s="454"/>
      <c r="AL245" s="459">
        <v>36819126</v>
      </c>
      <c r="AM245" s="455">
        <f t="shared" si="295"/>
        <v>98889126</v>
      </c>
      <c r="AN245" s="374">
        <f t="shared" si="291"/>
        <v>0</v>
      </c>
      <c r="AO245" s="433"/>
      <c r="AP245" s="456">
        <v>62070000</v>
      </c>
      <c r="AQ245" s="456"/>
      <c r="AR245" s="456">
        <v>42314840</v>
      </c>
      <c r="AS245" s="457">
        <f t="shared" si="296"/>
        <v>104384840</v>
      </c>
      <c r="AT245" s="204">
        <f t="shared" si="292"/>
        <v>98889.126000000004</v>
      </c>
      <c r="AU245" s="413"/>
      <c r="AV245" s="433"/>
      <c r="AW245" s="423">
        <v>122161</v>
      </c>
      <c r="BD245" s="322"/>
      <c r="BE245" s="322"/>
      <c r="BI245" s="318"/>
      <c r="BK245" s="442"/>
      <c r="BL245" s="435">
        <f>'FY 2016 by Agency'!AS249*Inflator!$E$13</f>
        <v>0</v>
      </c>
      <c r="BM245" s="315">
        <f>'FY 2016 by Agency'!AT249*Inflator!$E$13</f>
        <v>0</v>
      </c>
      <c r="BN245" s="339" t="e">
        <f t="shared" si="293"/>
        <v>#DIV/0!</v>
      </c>
      <c r="BP245" s="204">
        <f t="shared" si="281"/>
        <v>0</v>
      </c>
      <c r="BQ245" s="66" t="e">
        <f t="shared" si="282"/>
        <v>#DIV/0!</v>
      </c>
      <c r="BR245" s="204">
        <f>'FY 2016 by Agency'!BE248*Inflator!$E$14</f>
        <v>0</v>
      </c>
      <c r="BS245" s="204">
        <f t="shared" si="283"/>
        <v>0</v>
      </c>
      <c r="BT245" s="66" t="e">
        <f t="shared" si="284"/>
        <v>#DIV/0!</v>
      </c>
      <c r="BU245" s="315">
        <f>'FY 2016 by Agency'!BL249*Inflator!$E$14</f>
        <v>0</v>
      </c>
      <c r="BV245" s="315">
        <f>'FY 2016 by Agency'!BM249*Inflator!$E$14</f>
        <v>0</v>
      </c>
      <c r="BW245" s="206"/>
      <c r="BY245" s="206"/>
      <c r="BZ245" s="206">
        <f t="shared" si="275"/>
        <v>0</v>
      </c>
      <c r="CA245" s="199" t="e">
        <f t="shared" si="276"/>
        <v>#DIV/0!</v>
      </c>
      <c r="CC245" s="206">
        <f t="shared" si="294"/>
        <v>0</v>
      </c>
      <c r="CD245" s="316"/>
      <c r="CG245" s="679"/>
    </row>
    <row r="246" spans="1:88" s="317" customFormat="1" ht="18" customHeight="1" x14ac:dyDescent="0.25">
      <c r="A246" s="68"/>
      <c r="B246" s="302" t="e">
        <f>'FY 2016 by Agency'!B249*Inflator!#REF!</f>
        <v>#REF!</v>
      </c>
      <c r="C246" s="302" t="e">
        <f>'FY 2016 by Agency'!C249*Inflator!#REF!</f>
        <v>#REF!</v>
      </c>
      <c r="D246" s="302" t="e">
        <f t="shared" si="277"/>
        <v>#REF!</v>
      </c>
      <c r="E246" s="303" t="e">
        <f t="shared" si="286"/>
        <v>#REF!</v>
      </c>
      <c r="F246" s="204" t="e">
        <f>'FY 2016 by Agency'!F249*Inflator!#REF!</f>
        <v>#REF!</v>
      </c>
      <c r="G246" s="204" t="e">
        <f t="shared" si="278"/>
        <v>#REF!</v>
      </c>
      <c r="H246" s="199" t="e">
        <f t="shared" si="287"/>
        <v>#REF!</v>
      </c>
      <c r="I246" s="204" t="e">
        <f>'FY 2016 by Agency'!I249*Inflator!#REF!</f>
        <v>#REF!</v>
      </c>
      <c r="J246" s="204" t="e">
        <f t="shared" si="279"/>
        <v>#REF!</v>
      </c>
      <c r="K246" s="199" t="e">
        <f t="shared" si="288"/>
        <v>#REF!</v>
      </c>
      <c r="L246" s="204" t="e">
        <f>'FY 2016 by Agency'!L249*Inflator!#REF!</f>
        <v>#REF!</v>
      </c>
      <c r="M246" s="204" t="e">
        <f t="shared" si="280"/>
        <v>#REF!</v>
      </c>
      <c r="N246" s="199" t="e">
        <f t="shared" si="289"/>
        <v>#REF!</v>
      </c>
      <c r="O246" s="204" t="e">
        <f>'FY 2016 by Agency'!O249*Inflator!#REF!</f>
        <v>#REF!</v>
      </c>
      <c r="P246" s="315"/>
      <c r="Q246" s="394"/>
      <c r="R246" s="204" t="e">
        <f>'FY 2016 by Agency'!R249*Inflator!#REF!</f>
        <v>#REF!</v>
      </c>
      <c r="S246" s="204"/>
      <c r="T246" s="394"/>
      <c r="U246" s="204" t="e">
        <f>'FY 2016 by Agency'!U249*Inflator!#REF!</f>
        <v>#REF!</v>
      </c>
      <c r="V246" s="315"/>
      <c r="W246" s="394"/>
      <c r="X246" s="204" t="e">
        <f>'FY 2016 by Agency'!X249*Inflator!#REF!</f>
        <v>#REF!</v>
      </c>
      <c r="Y246" s="206"/>
      <c r="Z246" s="304"/>
      <c r="AA246" s="204" t="e">
        <f>'FY 2016 by Agency'!AA249*Inflator!#REF!</f>
        <v>#REF!</v>
      </c>
      <c r="AB246" s="206"/>
      <c r="AC246" s="200"/>
      <c r="AD246" s="204" t="e">
        <f>'FY 2016 by Agency'!AD249*Inflator!#REF!</f>
        <v>#REF!</v>
      </c>
      <c r="AE246" s="201"/>
      <c r="AF246" s="202"/>
      <c r="AG246" s="202"/>
      <c r="AH246" s="202"/>
      <c r="AI246" s="202"/>
      <c r="AJ246" s="454"/>
      <c r="AK246" s="454"/>
      <c r="AL246" s="459">
        <v>2400000</v>
      </c>
      <c r="AM246" s="455">
        <f t="shared" si="295"/>
        <v>2400000</v>
      </c>
      <c r="AN246" s="374">
        <f t="shared" si="291"/>
        <v>0</v>
      </c>
      <c r="AO246" s="433"/>
      <c r="AP246" s="456"/>
      <c r="AQ246" s="456"/>
      <c r="AR246" s="456">
        <v>0</v>
      </c>
      <c r="AS246" s="457">
        <f t="shared" si="296"/>
        <v>0</v>
      </c>
      <c r="AT246" s="204">
        <f t="shared" si="292"/>
        <v>2400</v>
      </c>
      <c r="AU246" s="413"/>
      <c r="AV246" s="433"/>
      <c r="AW246" s="423">
        <v>0</v>
      </c>
      <c r="BD246" s="322"/>
      <c r="BE246" s="322"/>
      <c r="BI246" s="318"/>
      <c r="BK246" s="442"/>
      <c r="BL246" s="435">
        <f>'FY 2016 by Agency'!AS250*Inflator!$E$13</f>
        <v>0</v>
      </c>
      <c r="BM246" s="315">
        <f>'FY 2016 by Agency'!AT250*Inflator!$E$13</f>
        <v>0</v>
      </c>
      <c r="BN246" s="339" t="e">
        <f t="shared" si="293"/>
        <v>#DIV/0!</v>
      </c>
      <c r="BP246" s="204">
        <f t="shared" si="281"/>
        <v>0</v>
      </c>
      <c r="BQ246" s="66" t="e">
        <f t="shared" si="282"/>
        <v>#DIV/0!</v>
      </c>
      <c r="BR246" s="204">
        <f>'FY 2016 by Agency'!BE249*Inflator!$E$14</f>
        <v>0</v>
      </c>
      <c r="BS246" s="204">
        <f t="shared" si="283"/>
        <v>0</v>
      </c>
      <c r="BT246" s="66" t="e">
        <f t="shared" si="284"/>
        <v>#DIV/0!</v>
      </c>
      <c r="BU246" s="315">
        <f>'FY 2016 by Agency'!BL250*Inflator!$E$14</f>
        <v>0</v>
      </c>
      <c r="BV246" s="315">
        <f>'FY 2016 by Agency'!BM250*Inflator!$E$14</f>
        <v>0</v>
      </c>
      <c r="BW246" s="206"/>
      <c r="BY246" s="206"/>
      <c r="BZ246" s="206">
        <f t="shared" si="275"/>
        <v>0</v>
      </c>
      <c r="CA246" s="199" t="e">
        <f t="shared" si="276"/>
        <v>#DIV/0!</v>
      </c>
      <c r="CC246" s="206">
        <f t="shared" si="294"/>
        <v>0</v>
      </c>
      <c r="CD246" s="316"/>
      <c r="CG246" s="679"/>
    </row>
    <row r="247" spans="1:88" s="317" customFormat="1" ht="18" customHeight="1" x14ac:dyDescent="0.25">
      <c r="A247" s="68"/>
      <c r="B247" s="302" t="e">
        <f>'FY 2016 by Agency'!B250*Inflator!#REF!</f>
        <v>#REF!</v>
      </c>
      <c r="C247" s="302" t="e">
        <f>'FY 2016 by Agency'!C250*Inflator!#REF!</f>
        <v>#REF!</v>
      </c>
      <c r="D247" s="302" t="e">
        <f t="shared" si="277"/>
        <v>#REF!</v>
      </c>
      <c r="E247" s="303" t="e">
        <f t="shared" si="286"/>
        <v>#REF!</v>
      </c>
      <c r="F247" s="204" t="e">
        <f>'FY 2016 by Agency'!F250*Inflator!#REF!</f>
        <v>#REF!</v>
      </c>
      <c r="G247" s="204" t="e">
        <f t="shared" si="278"/>
        <v>#REF!</v>
      </c>
      <c r="H247" s="199" t="e">
        <f t="shared" si="287"/>
        <v>#REF!</v>
      </c>
      <c r="I247" s="204" t="e">
        <f>'FY 2016 by Agency'!I250*Inflator!#REF!</f>
        <v>#REF!</v>
      </c>
      <c r="J247" s="204" t="e">
        <f t="shared" si="279"/>
        <v>#REF!</v>
      </c>
      <c r="K247" s="199" t="e">
        <f t="shared" si="288"/>
        <v>#REF!</v>
      </c>
      <c r="L247" s="204" t="e">
        <f>'FY 2016 by Agency'!L250*Inflator!#REF!</f>
        <v>#REF!</v>
      </c>
      <c r="M247" s="204" t="e">
        <f t="shared" si="280"/>
        <v>#REF!</v>
      </c>
      <c r="N247" s="199" t="e">
        <f t="shared" si="289"/>
        <v>#REF!</v>
      </c>
      <c r="O247" s="204" t="e">
        <f>'FY 2016 by Agency'!O250*Inflator!#REF!</f>
        <v>#REF!</v>
      </c>
      <c r="P247" s="315"/>
      <c r="Q247" s="394"/>
      <c r="R247" s="204" t="e">
        <f>'FY 2016 by Agency'!R250*Inflator!#REF!</f>
        <v>#REF!</v>
      </c>
      <c r="S247" s="204"/>
      <c r="T247" s="394"/>
      <c r="U247" s="204" t="e">
        <f>'FY 2016 by Agency'!U250*Inflator!#REF!</f>
        <v>#REF!</v>
      </c>
      <c r="V247" s="315"/>
      <c r="W247" s="394"/>
      <c r="X247" s="204" t="e">
        <f>'FY 2016 by Agency'!X250*Inflator!#REF!</f>
        <v>#REF!</v>
      </c>
      <c r="Y247" s="206"/>
      <c r="Z247" s="304"/>
      <c r="AA247" s="204" t="e">
        <f>'FY 2016 by Agency'!AA250*Inflator!#REF!</f>
        <v>#REF!</v>
      </c>
      <c r="AB247" s="206"/>
      <c r="AC247" s="200"/>
      <c r="AD247" s="204" t="e">
        <f>'FY 2016 by Agency'!AD250*Inflator!#REF!</f>
        <v>#REF!</v>
      </c>
      <c r="AE247" s="201"/>
      <c r="AF247" s="202"/>
      <c r="AG247" s="202"/>
      <c r="AH247" s="202"/>
      <c r="AI247" s="202"/>
      <c r="AJ247" s="454"/>
      <c r="AK247" s="454"/>
      <c r="AL247" s="459">
        <v>17000</v>
      </c>
      <c r="AM247" s="455">
        <f t="shared" si="295"/>
        <v>17000</v>
      </c>
      <c r="AN247" s="374">
        <f t="shared" si="291"/>
        <v>0</v>
      </c>
      <c r="AO247" s="433"/>
      <c r="AP247" s="456"/>
      <c r="AQ247" s="456"/>
      <c r="AR247" s="456">
        <v>17000</v>
      </c>
      <c r="AS247" s="457">
        <f t="shared" si="296"/>
        <v>17000</v>
      </c>
      <c r="AT247" s="204">
        <f t="shared" si="292"/>
        <v>17</v>
      </c>
      <c r="AU247" s="413"/>
      <c r="AV247" s="433"/>
      <c r="AW247" s="423">
        <v>17</v>
      </c>
      <c r="BD247" s="322"/>
      <c r="BE247" s="322"/>
      <c r="BI247" s="318"/>
      <c r="BK247" s="442"/>
      <c r="BL247" s="435">
        <f>'FY 2016 by Agency'!AS251*Inflator!$E$13</f>
        <v>0</v>
      </c>
      <c r="BM247" s="315">
        <f>'FY 2016 by Agency'!AT251*Inflator!$E$13</f>
        <v>0</v>
      </c>
      <c r="BN247" s="339" t="e">
        <f t="shared" si="293"/>
        <v>#DIV/0!</v>
      </c>
      <c r="BP247" s="204">
        <f t="shared" si="281"/>
        <v>0</v>
      </c>
      <c r="BQ247" s="66" t="e">
        <f t="shared" si="282"/>
        <v>#DIV/0!</v>
      </c>
      <c r="BR247" s="204">
        <f>'FY 2016 by Agency'!BE250*Inflator!$E$14</f>
        <v>0</v>
      </c>
      <c r="BS247" s="204">
        <f t="shared" si="283"/>
        <v>0</v>
      </c>
      <c r="BT247" s="66" t="e">
        <f t="shared" si="284"/>
        <v>#DIV/0!</v>
      </c>
      <c r="BU247" s="315">
        <f>'FY 2016 by Agency'!BL251*Inflator!$E$14</f>
        <v>0</v>
      </c>
      <c r="BV247" s="315">
        <f>'FY 2016 by Agency'!BM251*Inflator!$E$14</f>
        <v>0</v>
      </c>
      <c r="BW247" s="206"/>
      <c r="BY247" s="206"/>
      <c r="BZ247" s="206">
        <f t="shared" si="275"/>
        <v>0</v>
      </c>
      <c r="CA247" s="199" t="e">
        <f t="shared" si="276"/>
        <v>#DIV/0!</v>
      </c>
      <c r="CC247" s="206">
        <f t="shared" si="294"/>
        <v>0</v>
      </c>
      <c r="CD247" s="316"/>
      <c r="CG247" s="679"/>
    </row>
    <row r="248" spans="1:88" s="317" customFormat="1" ht="18" customHeight="1" x14ac:dyDescent="0.25">
      <c r="A248" s="68"/>
      <c r="B248" s="302" t="e">
        <f>'FY 2016 by Agency'!B251*Inflator!#REF!</f>
        <v>#REF!</v>
      </c>
      <c r="C248" s="302" t="e">
        <f>'FY 2016 by Agency'!C251*Inflator!#REF!</f>
        <v>#REF!</v>
      </c>
      <c r="D248" s="302" t="e">
        <f t="shared" si="277"/>
        <v>#REF!</v>
      </c>
      <c r="E248" s="303" t="e">
        <f t="shared" si="286"/>
        <v>#REF!</v>
      </c>
      <c r="F248" s="204" t="e">
        <f>'FY 2016 by Agency'!F251*Inflator!#REF!</f>
        <v>#REF!</v>
      </c>
      <c r="G248" s="204" t="e">
        <f t="shared" si="278"/>
        <v>#REF!</v>
      </c>
      <c r="H248" s="199" t="e">
        <f t="shared" si="287"/>
        <v>#REF!</v>
      </c>
      <c r="I248" s="204" t="e">
        <f>'FY 2016 by Agency'!I251*Inflator!#REF!</f>
        <v>#REF!</v>
      </c>
      <c r="J248" s="204" t="e">
        <f t="shared" si="279"/>
        <v>#REF!</v>
      </c>
      <c r="K248" s="199" t="e">
        <f t="shared" si="288"/>
        <v>#REF!</v>
      </c>
      <c r="L248" s="204" t="e">
        <f>'FY 2016 by Agency'!L251*Inflator!#REF!</f>
        <v>#REF!</v>
      </c>
      <c r="M248" s="204" t="e">
        <f t="shared" si="280"/>
        <v>#REF!</v>
      </c>
      <c r="N248" s="199" t="e">
        <f t="shared" si="289"/>
        <v>#REF!</v>
      </c>
      <c r="O248" s="204" t="e">
        <f>'FY 2016 by Agency'!O251*Inflator!#REF!</f>
        <v>#REF!</v>
      </c>
      <c r="P248" s="315"/>
      <c r="Q248" s="394"/>
      <c r="R248" s="204" t="e">
        <f>'FY 2016 by Agency'!R251*Inflator!#REF!</f>
        <v>#REF!</v>
      </c>
      <c r="S248" s="204"/>
      <c r="T248" s="394"/>
      <c r="U248" s="204" t="e">
        <f>'FY 2016 by Agency'!U251*Inflator!#REF!</f>
        <v>#REF!</v>
      </c>
      <c r="V248" s="315"/>
      <c r="W248" s="394"/>
      <c r="X248" s="204" t="e">
        <f>'FY 2016 by Agency'!X251*Inflator!#REF!</f>
        <v>#REF!</v>
      </c>
      <c r="Y248" s="206"/>
      <c r="Z248" s="304"/>
      <c r="AA248" s="204" t="e">
        <f>'FY 2016 by Agency'!AA251*Inflator!#REF!</f>
        <v>#REF!</v>
      </c>
      <c r="AB248" s="206"/>
      <c r="AC248" s="200"/>
      <c r="AD248" s="204" t="e">
        <f>'FY 2016 by Agency'!AD251*Inflator!#REF!</f>
        <v>#REF!</v>
      </c>
      <c r="AE248" s="201"/>
      <c r="AF248" s="202"/>
      <c r="AG248" s="202"/>
      <c r="AH248" s="202"/>
      <c r="AI248" s="202"/>
      <c r="AJ248" s="454"/>
      <c r="AK248" s="454"/>
      <c r="AL248" s="459">
        <v>180000000</v>
      </c>
      <c r="AM248" s="455">
        <f t="shared" si="295"/>
        <v>180000000</v>
      </c>
      <c r="AN248" s="374">
        <f t="shared" si="291"/>
        <v>0</v>
      </c>
      <c r="AO248" s="433"/>
      <c r="AP248" s="456"/>
      <c r="AQ248" s="456"/>
      <c r="AR248" s="456">
        <v>180000000</v>
      </c>
      <c r="AS248" s="457">
        <f t="shared" si="296"/>
        <v>180000000</v>
      </c>
      <c r="AT248" s="204">
        <f t="shared" si="292"/>
        <v>180000</v>
      </c>
      <c r="AU248" s="413"/>
      <c r="AV248" s="433"/>
      <c r="AW248" s="423">
        <v>251000</v>
      </c>
      <c r="BD248" s="322"/>
      <c r="BE248" s="322"/>
      <c r="BI248" s="318"/>
      <c r="BK248" s="442"/>
      <c r="BL248" s="435">
        <f>'FY 2016 by Agency'!AS252*Inflator!$E$13</f>
        <v>0</v>
      </c>
      <c r="BM248" s="315">
        <f>'FY 2016 by Agency'!AT252*Inflator!$E$13</f>
        <v>0</v>
      </c>
      <c r="BN248" s="339" t="e">
        <f t="shared" si="293"/>
        <v>#DIV/0!</v>
      </c>
      <c r="BP248" s="204">
        <f t="shared" si="281"/>
        <v>0</v>
      </c>
      <c r="BQ248" s="66" t="e">
        <f t="shared" si="282"/>
        <v>#DIV/0!</v>
      </c>
      <c r="BR248" s="204">
        <f>'FY 2016 by Agency'!BE251*Inflator!$E$14</f>
        <v>0</v>
      </c>
      <c r="BS248" s="204">
        <f t="shared" si="283"/>
        <v>0</v>
      </c>
      <c r="BT248" s="66" t="e">
        <f t="shared" si="284"/>
        <v>#DIV/0!</v>
      </c>
      <c r="BU248" s="315">
        <f>'FY 2016 by Agency'!BL252*Inflator!$E$14</f>
        <v>0</v>
      </c>
      <c r="BV248" s="315">
        <f>'FY 2016 by Agency'!BM252*Inflator!$E$14</f>
        <v>0</v>
      </c>
      <c r="BW248" s="206"/>
      <c r="BY248" s="206"/>
      <c r="BZ248" s="206">
        <f t="shared" si="275"/>
        <v>0</v>
      </c>
      <c r="CA248" s="199" t="e">
        <f t="shared" si="276"/>
        <v>#DIV/0!</v>
      </c>
      <c r="CC248" s="206">
        <f t="shared" si="294"/>
        <v>0</v>
      </c>
      <c r="CD248" s="316"/>
      <c r="CG248" s="679"/>
    </row>
    <row r="249" spans="1:88" s="317" customFormat="1" ht="18" customHeight="1" x14ac:dyDescent="0.25">
      <c r="A249" s="68"/>
      <c r="B249" s="302" t="e">
        <f>'FY 2016 by Agency'!B252*Inflator!#REF!</f>
        <v>#REF!</v>
      </c>
      <c r="C249" s="302" t="e">
        <f>'FY 2016 by Agency'!C252*Inflator!#REF!</f>
        <v>#REF!</v>
      </c>
      <c r="D249" s="302" t="e">
        <f t="shared" si="277"/>
        <v>#REF!</v>
      </c>
      <c r="E249" s="303" t="e">
        <f t="shared" si="286"/>
        <v>#REF!</v>
      </c>
      <c r="F249" s="204" t="e">
        <f>'FY 2016 by Agency'!F252*Inflator!#REF!</f>
        <v>#REF!</v>
      </c>
      <c r="G249" s="204" t="e">
        <f t="shared" si="278"/>
        <v>#REF!</v>
      </c>
      <c r="H249" s="199" t="e">
        <f t="shared" si="287"/>
        <v>#REF!</v>
      </c>
      <c r="I249" s="204" t="e">
        <f>'FY 2016 by Agency'!I252*Inflator!#REF!</f>
        <v>#REF!</v>
      </c>
      <c r="J249" s="204" t="e">
        <f t="shared" si="279"/>
        <v>#REF!</v>
      </c>
      <c r="K249" s="199" t="e">
        <f t="shared" si="288"/>
        <v>#REF!</v>
      </c>
      <c r="L249" s="204" t="e">
        <f>'FY 2016 by Agency'!L252*Inflator!#REF!</f>
        <v>#REF!</v>
      </c>
      <c r="M249" s="204" t="e">
        <f t="shared" si="280"/>
        <v>#REF!</v>
      </c>
      <c r="N249" s="199" t="e">
        <f t="shared" si="289"/>
        <v>#REF!</v>
      </c>
      <c r="O249" s="204" t="e">
        <f>'FY 2016 by Agency'!O252*Inflator!#REF!</f>
        <v>#REF!</v>
      </c>
      <c r="P249" s="315"/>
      <c r="Q249" s="394"/>
      <c r="R249" s="204" t="e">
        <f>'FY 2016 by Agency'!R252*Inflator!#REF!</f>
        <v>#REF!</v>
      </c>
      <c r="S249" s="204"/>
      <c r="T249" s="394"/>
      <c r="U249" s="204" t="e">
        <f>'FY 2016 by Agency'!U252*Inflator!#REF!</f>
        <v>#REF!</v>
      </c>
      <c r="V249" s="315"/>
      <c r="W249" s="394"/>
      <c r="X249" s="204" t="e">
        <f>'FY 2016 by Agency'!X252*Inflator!#REF!</f>
        <v>#REF!</v>
      </c>
      <c r="Y249" s="206"/>
      <c r="Z249" s="304"/>
      <c r="AA249" s="204" t="e">
        <f>'FY 2016 by Agency'!AA252*Inflator!#REF!</f>
        <v>#REF!</v>
      </c>
      <c r="AB249" s="206"/>
      <c r="AC249" s="200"/>
      <c r="AD249" s="204" t="e">
        <f>'FY 2016 by Agency'!AD252*Inflator!#REF!</f>
        <v>#REF!</v>
      </c>
      <c r="AE249" s="201"/>
      <c r="AF249" s="202"/>
      <c r="AG249" s="202"/>
      <c r="AH249" s="202"/>
      <c r="AI249" s="202"/>
      <c r="AJ249" s="459"/>
      <c r="AK249" s="459">
        <v>108679538</v>
      </c>
      <c r="AL249" s="459"/>
      <c r="AM249" s="455">
        <f t="shared" si="295"/>
        <v>108679538</v>
      </c>
      <c r="AN249" s="374">
        <f t="shared" si="291"/>
        <v>0</v>
      </c>
      <c r="AO249" s="433"/>
      <c r="AP249" s="456"/>
      <c r="AQ249" s="456">
        <v>62301694</v>
      </c>
      <c r="AR249" s="456"/>
      <c r="AS249" s="457">
        <f t="shared" si="296"/>
        <v>62301694</v>
      </c>
      <c r="AT249" s="204">
        <f t="shared" si="292"/>
        <v>108679.538</v>
      </c>
      <c r="AU249" s="413"/>
      <c r="AV249" s="433"/>
      <c r="AW249" s="423">
        <v>51329</v>
      </c>
      <c r="BD249" s="322"/>
      <c r="BE249" s="322"/>
      <c r="BI249" s="318"/>
      <c r="BK249" s="442"/>
      <c r="BL249" s="435">
        <f>'FY 2016 by Agency'!AS253*Inflator!$E$13</f>
        <v>0</v>
      </c>
      <c r="BM249" s="315">
        <f>'FY 2016 by Agency'!AT253*Inflator!$E$13</f>
        <v>0</v>
      </c>
      <c r="BN249" s="339" t="e">
        <f t="shared" si="293"/>
        <v>#DIV/0!</v>
      </c>
      <c r="BP249" s="204">
        <f t="shared" si="281"/>
        <v>0</v>
      </c>
      <c r="BQ249" s="66" t="e">
        <f t="shared" si="282"/>
        <v>#DIV/0!</v>
      </c>
      <c r="BR249" s="204">
        <f>'FY 2016 by Agency'!BE252*Inflator!$E$14</f>
        <v>0</v>
      </c>
      <c r="BS249" s="204">
        <f t="shared" si="283"/>
        <v>0</v>
      </c>
      <c r="BT249" s="66" t="e">
        <f t="shared" si="284"/>
        <v>#DIV/0!</v>
      </c>
      <c r="BU249" s="315">
        <f>'FY 2016 by Agency'!BL253*Inflator!$E$14</f>
        <v>0</v>
      </c>
      <c r="BV249" s="315">
        <f>'FY 2016 by Agency'!BM253*Inflator!$E$14</f>
        <v>0</v>
      </c>
      <c r="BW249" s="206"/>
      <c r="BY249" s="206"/>
      <c r="BZ249" s="206">
        <f t="shared" si="275"/>
        <v>0</v>
      </c>
      <c r="CA249" s="199" t="e">
        <f t="shared" si="276"/>
        <v>#DIV/0!</v>
      </c>
      <c r="CC249" s="206">
        <f t="shared" si="294"/>
        <v>0</v>
      </c>
      <c r="CD249" s="316"/>
      <c r="CG249" s="679"/>
    </row>
    <row r="250" spans="1:88" s="317" customFormat="1" ht="18" customHeight="1" x14ac:dyDescent="0.25">
      <c r="A250" s="68"/>
      <c r="B250" s="302" t="e">
        <f>'FY 2016 by Agency'!B253*Inflator!#REF!</f>
        <v>#REF!</v>
      </c>
      <c r="C250" s="302" t="e">
        <f>'FY 2016 by Agency'!C253*Inflator!#REF!</f>
        <v>#REF!</v>
      </c>
      <c r="D250" s="302" t="e">
        <f t="shared" si="277"/>
        <v>#REF!</v>
      </c>
      <c r="E250" s="303" t="e">
        <f t="shared" si="286"/>
        <v>#REF!</v>
      </c>
      <c r="F250" s="204" t="e">
        <f>'FY 2016 by Agency'!F253*Inflator!#REF!</f>
        <v>#REF!</v>
      </c>
      <c r="G250" s="204" t="e">
        <f t="shared" si="278"/>
        <v>#REF!</v>
      </c>
      <c r="H250" s="199" t="e">
        <f t="shared" si="287"/>
        <v>#REF!</v>
      </c>
      <c r="I250" s="204" t="e">
        <f>'FY 2016 by Agency'!I253*Inflator!#REF!</f>
        <v>#REF!</v>
      </c>
      <c r="J250" s="204" t="e">
        <f t="shared" si="279"/>
        <v>#REF!</v>
      </c>
      <c r="K250" s="199" t="e">
        <f t="shared" si="288"/>
        <v>#REF!</v>
      </c>
      <c r="L250" s="204" t="e">
        <f>'FY 2016 by Agency'!L253*Inflator!#REF!</f>
        <v>#REF!</v>
      </c>
      <c r="M250" s="204" t="e">
        <f t="shared" si="280"/>
        <v>#REF!</v>
      </c>
      <c r="N250" s="199" t="e">
        <f t="shared" si="289"/>
        <v>#REF!</v>
      </c>
      <c r="O250" s="204" t="e">
        <f>'FY 2016 by Agency'!O253*Inflator!#REF!</f>
        <v>#REF!</v>
      </c>
      <c r="P250" s="315"/>
      <c r="Q250" s="394"/>
      <c r="R250" s="204" t="e">
        <f>'FY 2016 by Agency'!R253*Inflator!#REF!</f>
        <v>#REF!</v>
      </c>
      <c r="S250" s="204"/>
      <c r="T250" s="394"/>
      <c r="U250" s="204" t="e">
        <f>'FY 2016 by Agency'!U253*Inflator!#REF!</f>
        <v>#REF!</v>
      </c>
      <c r="V250" s="315"/>
      <c r="W250" s="394"/>
      <c r="X250" s="204" t="e">
        <f>'FY 2016 by Agency'!X253*Inflator!#REF!</f>
        <v>#REF!</v>
      </c>
      <c r="Y250" s="206"/>
      <c r="Z250" s="304"/>
      <c r="AA250" s="204" t="e">
        <f>'FY 2016 by Agency'!AA253*Inflator!#REF!</f>
        <v>#REF!</v>
      </c>
      <c r="AB250" s="206"/>
      <c r="AC250" s="200"/>
      <c r="AD250" s="204" t="e">
        <f>'FY 2016 by Agency'!AD253*Inflator!#REF!</f>
        <v>#REF!</v>
      </c>
      <c r="AE250" s="201"/>
      <c r="AF250" s="202"/>
      <c r="AG250" s="202"/>
      <c r="AH250" s="202"/>
      <c r="AI250" s="202"/>
      <c r="AJ250" s="454" t="s">
        <v>486</v>
      </c>
      <c r="AK250" s="454"/>
      <c r="AL250" s="454"/>
      <c r="AM250" s="455"/>
      <c r="AN250" s="374">
        <f t="shared" si="291"/>
        <v>0</v>
      </c>
      <c r="AO250" s="433"/>
      <c r="AP250" s="456"/>
      <c r="AQ250" s="456"/>
      <c r="AR250" s="456"/>
      <c r="AS250" s="457"/>
      <c r="AT250" s="204">
        <f t="shared" si="292"/>
        <v>0</v>
      </c>
      <c r="AU250" s="413"/>
      <c r="AV250" s="433"/>
      <c r="AW250" s="423">
        <v>11336</v>
      </c>
      <c r="BD250" s="322"/>
      <c r="BE250" s="322"/>
      <c r="BI250" s="318"/>
      <c r="BK250" s="442"/>
      <c r="BL250" s="435">
        <f>'FY 2016 by Agency'!AS254*Inflator!$E$13</f>
        <v>0</v>
      </c>
      <c r="BM250" s="315">
        <f>'FY 2016 by Agency'!AT254*Inflator!$E$13</f>
        <v>0</v>
      </c>
      <c r="BN250" s="339" t="e">
        <f t="shared" si="293"/>
        <v>#DIV/0!</v>
      </c>
      <c r="BP250" s="204">
        <f t="shared" si="281"/>
        <v>0</v>
      </c>
      <c r="BQ250" s="66" t="e">
        <f t="shared" si="282"/>
        <v>#DIV/0!</v>
      </c>
      <c r="BR250" s="204">
        <f>'FY 2016 by Agency'!BE253*Inflator!$E$14</f>
        <v>0</v>
      </c>
      <c r="BS250" s="204">
        <f t="shared" si="283"/>
        <v>0</v>
      </c>
      <c r="BT250" s="66" t="e">
        <f t="shared" si="284"/>
        <v>#DIV/0!</v>
      </c>
      <c r="BU250" s="315">
        <f>'FY 2016 by Agency'!BL254*Inflator!$E$14</f>
        <v>0</v>
      </c>
      <c r="BV250" s="315">
        <f>'FY 2016 by Agency'!BM254*Inflator!$E$14</f>
        <v>0</v>
      </c>
      <c r="BW250" s="206"/>
      <c r="BY250" s="206"/>
      <c r="BZ250" s="206">
        <f t="shared" si="275"/>
        <v>0</v>
      </c>
      <c r="CA250" s="199" t="e">
        <f t="shared" si="276"/>
        <v>#DIV/0!</v>
      </c>
      <c r="CC250" s="206">
        <f t="shared" si="294"/>
        <v>0</v>
      </c>
      <c r="CD250" s="316"/>
      <c r="CG250" s="679"/>
    </row>
    <row r="251" spans="1:88" ht="18" customHeight="1" x14ac:dyDescent="0.25">
      <c r="B251" s="302" t="e">
        <f>'FY 2016 by Agency'!B254*Inflator!#REF!</f>
        <v>#REF!</v>
      </c>
      <c r="C251" s="302" t="e">
        <f>'FY 2016 by Agency'!C254*Inflator!#REF!</f>
        <v>#REF!</v>
      </c>
      <c r="D251" s="302" t="e">
        <f t="shared" si="277"/>
        <v>#REF!</v>
      </c>
      <c r="E251" s="303" t="e">
        <f t="shared" si="286"/>
        <v>#REF!</v>
      </c>
      <c r="F251" s="204" t="e">
        <f>'FY 2016 by Agency'!F254*Inflator!#REF!</f>
        <v>#REF!</v>
      </c>
      <c r="G251" s="204" t="e">
        <f t="shared" si="278"/>
        <v>#REF!</v>
      </c>
      <c r="H251" s="199" t="e">
        <f t="shared" si="287"/>
        <v>#REF!</v>
      </c>
      <c r="I251" s="204" t="e">
        <f>'FY 2016 by Agency'!I254*Inflator!#REF!</f>
        <v>#REF!</v>
      </c>
      <c r="J251" s="204" t="e">
        <f t="shared" si="279"/>
        <v>#REF!</v>
      </c>
      <c r="K251" s="199" t="e">
        <f t="shared" si="288"/>
        <v>#REF!</v>
      </c>
      <c r="L251" s="204" t="e">
        <f>'FY 2016 by Agency'!L254*Inflator!#REF!</f>
        <v>#REF!</v>
      </c>
      <c r="M251" s="204" t="e">
        <f t="shared" si="280"/>
        <v>#REF!</v>
      </c>
      <c r="N251" s="199" t="e">
        <f t="shared" si="289"/>
        <v>#REF!</v>
      </c>
      <c r="O251" s="204" t="e">
        <f>'FY 2016 by Agency'!O254*Inflator!#REF!</f>
        <v>#REF!</v>
      </c>
      <c r="R251" s="204" t="e">
        <f>'FY 2016 by Agency'!R254*Inflator!#REF!</f>
        <v>#REF!</v>
      </c>
      <c r="U251" s="204" t="e">
        <f>'FY 2016 by Agency'!U254*Inflator!#REF!</f>
        <v>#REF!</v>
      </c>
      <c r="X251" s="204" t="e">
        <f>'FY 2016 by Agency'!X254*Inflator!#REF!</f>
        <v>#REF!</v>
      </c>
      <c r="AA251" s="204" t="e">
        <f>'FY 2016 by Agency'!AA254*Inflator!#REF!</f>
        <v>#REF!</v>
      </c>
      <c r="AD251" s="204" t="e">
        <f>'FY 2016 by Agency'!AD254*Inflator!#REF!</f>
        <v>#REF!</v>
      </c>
      <c r="AI251" s="202"/>
      <c r="AJ251" s="461">
        <f>SUM(AJ238:AJ250)</f>
        <v>62070000</v>
      </c>
      <c r="AK251" s="461">
        <f t="shared" ref="AK251:AS251" si="297">SUM(AK238:AK250)</f>
        <v>108679538</v>
      </c>
      <c r="AL251" s="461">
        <f t="shared" si="297"/>
        <v>499758476</v>
      </c>
      <c r="AM251" s="461">
        <f t="shared" si="297"/>
        <v>670508014</v>
      </c>
      <c r="AN251" s="374">
        <f t="shared" si="291"/>
        <v>0</v>
      </c>
      <c r="AP251" s="462">
        <f t="shared" si="297"/>
        <v>62070000</v>
      </c>
      <c r="AQ251" s="462">
        <f t="shared" si="297"/>
        <v>62301694</v>
      </c>
      <c r="AR251" s="462">
        <f t="shared" si="297"/>
        <v>489973565</v>
      </c>
      <c r="AS251" s="358">
        <f t="shared" si="297"/>
        <v>614345259</v>
      </c>
      <c r="AT251" s="204">
        <f t="shared" si="292"/>
        <v>670508.01399999997</v>
      </c>
      <c r="AV251" s="367"/>
      <c r="AW251" s="354">
        <f>SUM(AW238:AW250)</f>
        <v>1270397</v>
      </c>
      <c r="BI251" s="200"/>
      <c r="BL251" s="405">
        <f>'FY 2016 by Agency'!AS255*Inflator!$E$13</f>
        <v>6778062.9602619438</v>
      </c>
      <c r="BM251" s="204">
        <f>'FY 2016 by Agency'!AT255*Inflator!$E$13</f>
        <v>374849.18241635407</v>
      </c>
      <c r="BN251" s="406" t="e">
        <f t="shared" si="293"/>
        <v>#DIV/0!</v>
      </c>
      <c r="BP251" s="204">
        <f t="shared" si="281"/>
        <v>0</v>
      </c>
      <c r="BQ251" s="66" t="e">
        <f t="shared" si="282"/>
        <v>#DIV/0!</v>
      </c>
      <c r="BR251" s="204">
        <f>'FY 2016 by Agency'!BE254*Inflator!$E$14</f>
        <v>0</v>
      </c>
      <c r="BS251" s="204">
        <f t="shared" si="283"/>
        <v>0</v>
      </c>
      <c r="BT251" s="66" t="e">
        <f t="shared" si="284"/>
        <v>#DIV/0!</v>
      </c>
      <c r="BU251" s="204">
        <f>'FY 2016 by Agency'!BL255*Inflator!$E$14</f>
        <v>6984289.8888557805</v>
      </c>
      <c r="BV251" s="204">
        <f>'FY 2016 by Agency'!BM255*Inflator!$E$14</f>
        <v>365782.04595399572</v>
      </c>
      <c r="BW251" s="296">
        <f>BW231+BW196+BW174+BW141+BW116+BW81+BW48</f>
        <v>6748606</v>
      </c>
      <c r="BY251" s="296" t="e">
        <f>BY48+BY81+#REF!+BY141+BY174+BY196+BY231</f>
        <v>#REF!</v>
      </c>
      <c r="BZ251" s="206">
        <f t="shared" si="275"/>
        <v>6748606</v>
      </c>
      <c r="CA251" s="199" t="e">
        <f t="shared" si="276"/>
        <v>#DIV/0!</v>
      </c>
      <c r="CC251" s="206">
        <f t="shared" si="294"/>
        <v>6748606</v>
      </c>
      <c r="CD251" s="304"/>
      <c r="CG251" s="562"/>
    </row>
    <row r="252" spans="1:88" s="317" customFormat="1" ht="18" customHeight="1" thickBot="1" x14ac:dyDescent="0.3">
      <c r="A252" s="317" t="s">
        <v>487</v>
      </c>
      <c r="B252" s="302"/>
      <c r="C252" s="302"/>
      <c r="D252" s="302"/>
      <c r="E252" s="303"/>
      <c r="F252" s="315"/>
      <c r="G252" s="315"/>
      <c r="H252" s="324"/>
      <c r="I252" s="315"/>
      <c r="J252" s="315"/>
      <c r="K252" s="324"/>
      <c r="L252" s="315"/>
      <c r="M252" s="315"/>
      <c r="N252" s="324"/>
      <c r="O252" s="315"/>
      <c r="R252" s="315"/>
      <c r="U252" s="315"/>
      <c r="X252" s="315"/>
      <c r="AA252" s="315"/>
      <c r="AC252" s="318"/>
      <c r="AD252" s="315"/>
      <c r="AE252" s="463"/>
      <c r="AF252" s="464"/>
      <c r="AG252" s="464"/>
      <c r="AH252" s="464"/>
      <c r="AI252" s="464"/>
      <c r="AJ252" s="465"/>
      <c r="AK252" s="465"/>
      <c r="AL252" s="465"/>
      <c r="AM252" s="465"/>
      <c r="AN252" s="466"/>
      <c r="AO252" s="433"/>
      <c r="AP252" s="467"/>
      <c r="AQ252" s="467"/>
      <c r="AR252" s="467"/>
      <c r="AS252" s="338"/>
      <c r="AT252" s="315"/>
      <c r="AU252" s="413"/>
      <c r="AV252" s="468"/>
      <c r="AW252" s="340"/>
      <c r="BD252" s="322"/>
      <c r="BE252" s="322"/>
      <c r="BI252" s="318"/>
      <c r="BK252" s="442"/>
      <c r="BL252" s="435"/>
      <c r="BM252" s="315"/>
      <c r="BN252" s="339"/>
      <c r="BP252" s="315"/>
      <c r="BR252" s="315"/>
      <c r="BS252" s="315"/>
      <c r="BU252" s="315"/>
      <c r="BV252" s="315"/>
      <c r="BW252" s="387"/>
      <c r="BZ252" s="413"/>
      <c r="CA252" s="324"/>
      <c r="CC252" s="413"/>
      <c r="CD252" s="316"/>
      <c r="CG252" s="679"/>
    </row>
    <row r="253" spans="1:88" s="283" customFormat="1" ht="18" customHeight="1" x14ac:dyDescent="0.25">
      <c r="A253" s="469" t="s">
        <v>337</v>
      </c>
      <c r="B253" s="470">
        <f>'FY 2016 by Agency'!B255*Inflator!$E$2</f>
        <v>4620419.3923444971</v>
      </c>
      <c r="C253" s="470">
        <f>'FY 2016 by Agency'!C255*Inflator!$E$3</f>
        <v>4909177.9926584242</v>
      </c>
      <c r="D253" s="471">
        <f t="shared" si="277"/>
        <v>288758.60031392705</v>
      </c>
      <c r="E253" s="472">
        <f t="shared" si="286"/>
        <v>6.2496188288094973E-2</v>
      </c>
      <c r="F253" s="473">
        <f>'FY 2016 by Agency'!F255*Inflator!$E$4</f>
        <v>4897090.0723258471</v>
      </c>
      <c r="G253" s="474">
        <f t="shared" si="278"/>
        <v>-12087.92033257708</v>
      </c>
      <c r="H253" s="475">
        <f t="shared" si="287"/>
        <v>-2.4623104622921227E-3</v>
      </c>
      <c r="I253" s="473">
        <f>'FY 2016 by Agency'!I255*Inflator!$E$5</f>
        <v>4834704.7776124962</v>
      </c>
      <c r="J253" s="474">
        <f t="shared" si="279"/>
        <v>-62385.294713350944</v>
      </c>
      <c r="K253" s="475">
        <f t="shared" si="288"/>
        <v>-1.2739258170050644E-2</v>
      </c>
      <c r="L253" s="473">
        <f>'FY 2016 by Agency'!L255*Inflator!$E$6</f>
        <v>5220812.4852780811</v>
      </c>
      <c r="M253" s="474">
        <f t="shared" si="280"/>
        <v>386107.70766558498</v>
      </c>
      <c r="N253" s="475">
        <f t="shared" si="289"/>
        <v>7.9861692787011301E-2</v>
      </c>
      <c r="O253" s="473">
        <f>'FY 2016 by Agency'!O255*Inflator!$E$7</f>
        <v>5642750.7529039066</v>
      </c>
      <c r="P253" s="474">
        <f>O253-L253</f>
        <v>421938.26762582548</v>
      </c>
      <c r="Q253" s="476">
        <f>P253/L253</f>
        <v>8.0818506471096022E-2</v>
      </c>
      <c r="R253" s="473">
        <f>'FY 2016 by Agency'!R255*Inflator!$E$8</f>
        <v>6352744.5356415482</v>
      </c>
      <c r="S253" s="474">
        <f>R253-O253</f>
        <v>709993.7827376416</v>
      </c>
      <c r="T253" s="476">
        <f>S253/O253</f>
        <v>0.12582405529293675</v>
      </c>
      <c r="U253" s="473">
        <f>'FY 2016 by Agency'!U255*Inflator!$E$9</f>
        <v>6558685.6889920412</v>
      </c>
      <c r="V253" s="474">
        <f>U253-R253</f>
        <v>205941.15335049294</v>
      </c>
      <c r="W253" s="476">
        <f>V253/R253</f>
        <v>3.2417666442445009E-2</v>
      </c>
      <c r="X253" s="473">
        <f>'FY 2016 by Agency'!X255*Inflator!$E$10</f>
        <v>7189856.8666243255</v>
      </c>
      <c r="Y253" s="477">
        <f>+Y231+Y196+Y174+Y141+Y116+Y81+Y48</f>
        <v>621294.66287211422</v>
      </c>
      <c r="Z253" s="476">
        <f>Y253/U253</f>
        <v>9.472853134506537E-2</v>
      </c>
      <c r="AA253" s="473">
        <f>'FY 2016 by Agency'!AA255*Inflator!$E$11</f>
        <v>7181528.525007965</v>
      </c>
      <c r="AB253" s="477">
        <f>AA253-X253</f>
        <v>-8328.3416163604707</v>
      </c>
      <c r="AC253" s="476">
        <f>AB253/X253</f>
        <v>-1.158345954704752E-3</v>
      </c>
      <c r="AD253" s="474" t="e">
        <f>'FY 2016 by Agency'!AD255*Inflator!#REF!</f>
        <v>#REF!</v>
      </c>
      <c r="AE253" s="477">
        <f>+AE231+AE196+AE174+AE141+AE116+AE81+AE48</f>
        <v>0</v>
      </c>
      <c r="AF253" s="477">
        <f>+AF231+AF196+AF174+AF141+AF116+AF81+AF48</f>
        <v>6573725.4229323315</v>
      </c>
      <c r="AG253" s="474">
        <f>AF253-AA253</f>
        <v>-607803.10207563359</v>
      </c>
      <c r="AH253" s="476">
        <f>AG253/AA253</f>
        <v>-8.4634225145678088E-2</v>
      </c>
      <c r="AI253" s="477">
        <f t="shared" ref="AI253:AT253" si="298">+AI231+AI196+AI174+AI141+AI116+AI81+AI48</f>
        <v>0</v>
      </c>
      <c r="AJ253" s="477">
        <f t="shared" si="298"/>
        <v>0</v>
      </c>
      <c r="AK253" s="477">
        <f t="shared" si="298"/>
        <v>5590843</v>
      </c>
      <c r="AL253" s="477">
        <f t="shared" si="298"/>
        <v>103869</v>
      </c>
      <c r="AM253" s="477">
        <f t="shared" si="298"/>
        <v>5694712</v>
      </c>
      <c r="AN253" s="477">
        <f t="shared" si="298"/>
        <v>5268442</v>
      </c>
      <c r="AO253" s="477">
        <f t="shared" si="298"/>
        <v>6135094</v>
      </c>
      <c r="AP253" s="477">
        <f t="shared" si="298"/>
        <v>102146</v>
      </c>
      <c r="AQ253" s="477">
        <f t="shared" si="298"/>
        <v>9153</v>
      </c>
      <c r="AR253" s="477">
        <f t="shared" si="298"/>
        <v>111299</v>
      </c>
      <c r="AS253" s="477">
        <f t="shared" si="298"/>
        <v>5989256.7890300006</v>
      </c>
      <c r="AT253" s="477" t="e">
        <f t="shared" si="298"/>
        <v>#REF!</v>
      </c>
      <c r="AU253" s="476" t="e">
        <f>AT253/AD253</f>
        <v>#REF!</v>
      </c>
      <c r="AV253" s="474">
        <f>AS253-AF253</f>
        <v>-584468.63390233088</v>
      </c>
      <c r="AW253" s="476">
        <f>AV253/AF253</f>
        <v>-8.8909803239335464E-2</v>
      </c>
      <c r="AX253" s="476"/>
      <c r="AY253" s="478">
        <f>SUM(AY7:AY39)+SUM(AY58:AY80)+SUM(AY92:AY115)+SUM(AY127:AY139)+SUM(AY154:AY171)+SUM(AY187:AY195)+SUM(AY206:AY228)</f>
        <v>6156744.2771899998</v>
      </c>
      <c r="AZ253" s="476"/>
      <c r="BA253" s="476"/>
      <c r="BB253" s="476"/>
      <c r="BC253" s="476"/>
      <c r="BD253" s="478">
        <f>SUM(BD7:BD39)+SUM(BD58:BD80)+SUM(BD92:BD115)+SUM(BD127:BD139)+SUM(BD154:BD171)+SUM(BD187:BD195)</f>
        <v>100238.36499999999</v>
      </c>
      <c r="BE253" s="475"/>
      <c r="BF253" s="469"/>
      <c r="BG253" s="469"/>
      <c r="BH253" s="469"/>
      <c r="BI253" s="479">
        <f>SUM(BI206:BI229)+ SUM(BI187:BI195)+SUM(BI154:BI171)+SUM(BI127:BI138)+SUM(BI92:BI115)+SUM(BI58:BI80)+SUM(BI7:BI44)</f>
        <v>6114792</v>
      </c>
      <c r="BJ253" s="479">
        <f>BI253-AY253</f>
        <v>-41952.277189999819</v>
      </c>
      <c r="BK253" s="479">
        <f>BK231+BK196+BK174+BK141+BK116+BK81+BK48</f>
        <v>6134427.1320000002</v>
      </c>
      <c r="BL253" s="480">
        <f>'FY 2016 by Agency'!BB255*Inflator!$E$13</f>
        <v>6655691.7985286508</v>
      </c>
      <c r="BM253" s="474">
        <f>'FY 2016 by Agency'!AT255*Inflator!$E$13</f>
        <v>374849.18241635407</v>
      </c>
      <c r="BN253" s="475">
        <f t="shared" si="293"/>
        <v>5.7022336392192313E-2</v>
      </c>
      <c r="BO253" s="474">
        <f>'FY 2016 by Agency'!AX255*Inflator!$E$13</f>
        <v>6831826.7458040891</v>
      </c>
      <c r="BP253" s="474">
        <f t="shared" si="281"/>
        <v>258101.32287175767</v>
      </c>
      <c r="BQ253" s="475">
        <f t="shared" si="282"/>
        <v>3.92625651767224E-2</v>
      </c>
      <c r="BR253" s="474">
        <f>'FY 2016 by Agency'!BE255*Inflator!$E$14</f>
        <v>6864451.4892729437</v>
      </c>
      <c r="BS253" s="474">
        <f t="shared" si="283"/>
        <v>32624.743468854576</v>
      </c>
      <c r="BT253" s="475">
        <f t="shared" si="284"/>
        <v>4.7754055661455045E-3</v>
      </c>
      <c r="BU253" s="474">
        <f>BU231+BU196+BU174+BU141+BU116+BU81+BU48</f>
        <v>6983845.4186531585</v>
      </c>
      <c r="BV253" s="474">
        <f>BU253-BL253</f>
        <v>328153.6201245077</v>
      </c>
      <c r="BW253" s="477">
        <f>BW48+BW81+BW116+BW141+BW174+BW196+BW231</f>
        <v>6748606</v>
      </c>
      <c r="BX253" s="474" t="e">
        <f>BX231+BX196+BX174+BX141+BX116+BX81+BX48</f>
        <v>#REF!</v>
      </c>
      <c r="BY253" s="474">
        <f>'FY 2016 by Agency'!BZ255*Inflator!$E$15</f>
        <v>7070725.3597185565</v>
      </c>
      <c r="BZ253" s="477">
        <f t="shared" si="275"/>
        <v>-115845.4892729437</v>
      </c>
      <c r="CA253" s="475">
        <f t="shared" si="276"/>
        <v>-1.6876146543387344E-2</v>
      </c>
      <c r="CB253" s="672">
        <f>'FY 2016 by Agency'!CF255*Inflator!$E$16</f>
        <v>7456324.7455963036</v>
      </c>
      <c r="CC253" s="477">
        <f>CB253-BY253</f>
        <v>385599.38587774709</v>
      </c>
      <c r="CD253" s="476">
        <f>CC253/BY253</f>
        <v>5.453462922976484E-2</v>
      </c>
      <c r="CE253" s="481">
        <f>'FY 2016 by Agency'!CK255*Inflator!$E$17</f>
        <v>0</v>
      </c>
      <c r="CF253" s="481">
        <f>CE253-CB253</f>
        <v>-7456324.7455963036</v>
      </c>
      <c r="CG253" s="671">
        <f>CF253/CB253</f>
        <v>-1</v>
      </c>
      <c r="CH253" s="755">
        <f>'FY 2016 by Agency'!CN251*Inflator!$E$18</f>
        <v>0</v>
      </c>
      <c r="CI253" s="755">
        <f>CH253-CE253</f>
        <v>0</v>
      </c>
      <c r="CJ253" s="283" t="e">
        <f>CI253/CE253</f>
        <v>#DIV/0!</v>
      </c>
    </row>
    <row r="254" spans="1:88" ht="18" customHeight="1" x14ac:dyDescent="0.25">
      <c r="R254" s="204"/>
      <c r="AM254" s="307"/>
      <c r="AN254" s="374"/>
      <c r="BZ254" s="206"/>
      <c r="CA254" s="199"/>
      <c r="CC254" s="482"/>
    </row>
    <row r="255" spans="1:88" ht="18" customHeight="1" x14ac:dyDescent="0.25">
      <c r="AM255" s="307"/>
      <c r="AN255" s="374"/>
      <c r="AW255" s="397"/>
      <c r="BL255" s="483"/>
      <c r="BR255" s="204"/>
    </row>
    <row r="256" spans="1:88" ht="18" customHeight="1" x14ac:dyDescent="0.25">
      <c r="AM256" s="307"/>
      <c r="AN256" s="374"/>
    </row>
    <row r="257" spans="39:78" ht="18" customHeight="1" x14ac:dyDescent="0.25">
      <c r="AM257" s="307"/>
      <c r="AN257" s="374"/>
    </row>
    <row r="258" spans="39:78" ht="18" customHeight="1" x14ac:dyDescent="0.25">
      <c r="AM258" s="307"/>
      <c r="AN258" s="374"/>
      <c r="BX258" s="204"/>
      <c r="BY258" s="204"/>
      <c r="BZ258" s="199"/>
    </row>
    <row r="259" spans="39:78" ht="18" customHeight="1" x14ac:dyDescent="0.25">
      <c r="AM259" s="307"/>
      <c r="AN259" s="374"/>
    </row>
    <row r="260" spans="39:78" ht="18" customHeight="1" x14ac:dyDescent="0.25">
      <c r="AM260" s="307"/>
      <c r="AN260" s="374"/>
    </row>
    <row r="261" spans="39:78" ht="18" customHeight="1" x14ac:dyDescent="0.25">
      <c r="AM261" s="307"/>
      <c r="AN261" s="374"/>
    </row>
    <row r="262" spans="39:78" ht="18" customHeight="1" x14ac:dyDescent="0.25">
      <c r="AM262" s="307"/>
      <c r="AN262" s="374"/>
    </row>
    <row r="263" spans="39:78" ht="18" customHeight="1" x14ac:dyDescent="0.25">
      <c r="AM263" s="307"/>
      <c r="AN263" s="374"/>
    </row>
  </sheetData>
  <customSheetViews>
    <customSheetView guid="{AEFEB150-9213-45F5-A178-7AC71E46DB11}" scale="85" topLeftCell="A4">
      <pane xSplit="1" ySplit="2" topLeftCell="BZ197" activePane="bottomRight" state="frozen"/>
      <selection pane="bottomRight" activeCell="CH215" sqref="CH215"/>
      <pageMargins left="0" right="0" top="0" bottom="0" header="0" footer="0"/>
      <pageSetup paperSize="5" orientation="landscape" r:id="rId1"/>
      <headerFooter alignWithMargins="0"/>
    </customSheetView>
    <customSheetView guid="{AB763728-FC8E-40B1-8BAD-FF6772AD9A46}" scale="85" topLeftCell="A4">
      <pane xSplit="1" ySplit="2" topLeftCell="BZ163" activePane="bottomRight" state="frozen"/>
      <selection pane="bottomRight" activeCell="CA203" sqref="CA203"/>
      <pageMargins left="0" right="0" top="0" bottom="0" header="0" footer="0"/>
      <pageSetup paperSize="5" orientation="landscape" r:id="rId2"/>
      <headerFooter alignWithMargins="0"/>
    </customSheetView>
    <customSheetView guid="{08B0A6E6-0C62-4331-9E9A-05DFF5B8DF5B}" scale="80" hiddenRows="1" hiddenColumns="1" topLeftCell="A4">
      <pane xSplit="1" ySplit="2" topLeftCell="BN6" activePane="bottomRight" state="frozen"/>
      <selection pane="bottomRight" activeCell="CB60" sqref="CB60"/>
      <pageMargins left="0" right="0" top="0" bottom="0" header="0" footer="0"/>
      <pageSetup paperSize="5" orientation="landscape" r:id="rId3"/>
      <headerFooter alignWithMargins="0"/>
    </customSheetView>
    <customSheetView guid="{70E2A0B1-0EA6-43AE-8715-395179465BE5}" scale="80" hiddenRows="1" hiddenColumns="1" topLeftCell="A4">
      <pane xSplit="1" ySplit="2" topLeftCell="CD174" activePane="bottomRight" state="frozen"/>
      <selection pane="bottomRight" activeCell="CH183" sqref="CH183"/>
      <pageMargins left="0" right="0" top="0" bottom="0" header="0" footer="0"/>
      <pageSetup paperSize="5" orientation="landscape" r:id="rId4"/>
      <headerFooter alignWithMargins="0"/>
    </customSheetView>
    <customSheetView guid="{34052DE1-5E82-4B7C-8FA6-8E533676FB0A}" scale="80" topLeftCell="A4">
      <pane xSplit="1" ySplit="2" topLeftCell="BU168" activePane="bottomRight" state="frozen"/>
      <selection pane="bottomRight" activeCell="BW186" sqref="BW186"/>
      <pageMargins left="0" right="0" top="0" bottom="0" header="0" footer="0"/>
      <pageSetup paperSize="5" orientation="landscape" r:id="rId5"/>
      <headerFooter alignWithMargins="0"/>
    </customSheetView>
    <customSheetView guid="{A2518DB3-3A80-4035-9307-EC50A7C923F2}" scale="80" topLeftCell="A4">
      <pane xSplit="1" ySplit="2" topLeftCell="BN27" activePane="bottomRight" state="frozen"/>
      <selection pane="bottomRight" activeCell="BX39" sqref="BX39"/>
      <pageMargins left="0" right="0" top="0" bottom="0" header="0" footer="0"/>
      <pageSetup paperSize="5" orientation="landscape" r:id="rId6"/>
      <headerFooter alignWithMargins="0"/>
    </customSheetView>
    <customSheetView guid="{E81D05A4-5B21-42D3-A8D3-906ABCABC0F4}" scale="80" hiddenRows="1" hiddenColumns="1" topLeftCell="A4">
      <pane xSplit="1" ySplit="2" topLeftCell="BX81" activePane="bottomRight" state="frozen"/>
      <selection pane="bottomRight" activeCell="BX89" sqref="BX89"/>
      <pageMargins left="0" right="0" top="0" bottom="0" header="0" footer="0"/>
      <pageSetup paperSize="5" orientation="landscape" r:id="rId7"/>
      <headerFooter alignWithMargins="0"/>
    </customSheetView>
    <customSheetView guid="{E44F5FE1-54FC-4AB3-84F9-7D65ACF2DDE7}" scale="85" hiddenRows="1" hiddenColumns="1" topLeftCell="A4">
      <pane xSplit="1" ySplit="5" topLeftCell="AF47" activePane="bottomRight" state="frozen"/>
      <selection pane="bottomRight" activeCell="BL55" sqref="BL55"/>
      <pageMargins left="0" right="0" top="0" bottom="0" header="0" footer="0"/>
      <pageSetup paperSize="5" orientation="landscape" r:id="rId8"/>
      <headerFooter alignWithMargins="0"/>
    </customSheetView>
    <customSheetView guid="{94DA13B6-7351-40F3-8CF7-A4211EC439DA}" scale="85" hiddenRows="1" hiddenColumns="1" topLeftCell="A3">
      <pane xSplit="1" ySplit="5" topLeftCell="AU189" activePane="bottomRight" state="frozen"/>
      <selection pane="bottomRight" activeCell="AY196" sqref="AY196"/>
      <pageMargins left="0" right="0" top="0" bottom="0" header="0" footer="0"/>
      <pageSetup paperSize="5" orientation="landscape" r:id="rId9"/>
      <headerFooter alignWithMargins="0"/>
    </customSheetView>
    <customSheetView guid="{8F508F4D-4777-42BE-9707-8CB9355F7BDB}" scale="85" hiddenRows="1" hiddenColumns="1" topLeftCell="A4">
      <pane xSplit="1" ySplit="5" topLeftCell="AN83" activePane="bottomRight" state="frozen"/>
      <selection pane="bottomRight" activeCell="AR39" sqref="AR39"/>
      <pageMargins left="0" right="0" top="0" bottom="0" header="0" footer="0"/>
      <pageSetup paperSize="5" orientation="landscape" r:id="rId10"/>
      <headerFooter alignWithMargins="0"/>
    </customSheetView>
    <customSheetView guid="{F784130D-F647-4ABA-8943-C79CA5B0FDC4}" scale="85" hiddenRows="1" hiddenColumns="1" topLeftCell="A4">
      <pane xSplit="1" ySplit="5" topLeftCell="BT17" activePane="bottomRight" state="frozen"/>
      <selection pane="bottomRight" activeCell="BT25" sqref="BT25"/>
      <pageMargins left="0" right="0" top="0" bottom="0" header="0" footer="0"/>
      <pageSetup paperSize="5" orientation="landscape" r:id="rId11"/>
      <headerFooter alignWithMargins="0"/>
    </customSheetView>
    <customSheetView guid="{1E5198E1-BA46-4CE0-8628-4F695B0D7A3B}" scale="85" hiddenRows="1" topLeftCell="A4">
      <pane xSplit="1" ySplit="5" topLeftCell="BJ108" activePane="bottomRight" state="frozen"/>
      <selection pane="bottomRight" activeCell="BU127" sqref="BU127"/>
      <pageMargins left="0" right="0" top="0" bottom="0" header="0" footer="0"/>
      <pageSetup paperSize="5" orientation="landscape" r:id="rId12"/>
      <headerFooter alignWithMargins="0"/>
    </customSheetView>
    <customSheetView guid="{455630F5-40FC-47DB-8AD4-712C20B8FB91}" scale="80" hiddenRows="1" hiddenColumns="1" topLeftCell="A4">
      <pane xSplit="1" ySplit="2" topLeftCell="BN12" activePane="bottomRight" state="frozen"/>
      <selection pane="bottomRight" activeCell="BX7" sqref="BX7"/>
      <pageMargins left="0" right="0" top="0" bottom="0" header="0" footer="0"/>
      <pageSetup paperSize="5" orientation="landscape" r:id="rId13"/>
      <headerFooter alignWithMargins="0"/>
    </customSheetView>
    <customSheetView guid="{9D4F0482-B164-4671-805A-E0D2D4DD4720}" scale="85" hiddenRows="1" hiddenColumns="1" topLeftCell="A4">
      <pane xSplit="1" ySplit="5" topLeftCell="BQ51" activePane="bottomRight" state="frozen"/>
      <selection pane="bottomRight" activeCell="A58" sqref="A58:IV58"/>
      <pageMargins left="0" right="0" top="0" bottom="0" header="0" footer="0"/>
      <pageSetup paperSize="5" orientation="landscape" r:id="rId14"/>
      <headerFooter alignWithMargins="0"/>
    </customSheetView>
    <customSheetView guid="{567C3053-2D8E-4705-8DC7-18896C5303CA}" scale="85" showPageBreaks="1" hiddenRows="1" hiddenColumns="1" topLeftCell="A218">
      <pane xSplit="1" topLeftCell="BW1" activePane="topRight" state="frozen"/>
      <selection pane="topRight" activeCell="BY246" sqref="BY246"/>
      <pageMargins left="0" right="0" top="0" bottom="0" header="0" footer="0"/>
      <pageSetup paperSize="5" orientation="landscape" r:id="rId15"/>
      <headerFooter alignWithMargins="0"/>
    </customSheetView>
    <customSheetView guid="{7A9890A5-7CC2-466F-AA52-39E8D428DC1C}" scale="85" hiddenRows="1" hiddenColumns="1" topLeftCell="A4">
      <pane xSplit="1" topLeftCell="B1" activePane="topRight" state="frozen"/>
      <selection pane="topRight" activeCell="A5" sqref="A5"/>
      <pageMargins left="0" right="0" top="0" bottom="0" header="0" footer="0"/>
      <pageSetup paperSize="5" orientation="landscape" r:id="rId16"/>
      <headerFooter alignWithMargins="0"/>
    </customSheetView>
    <customSheetView guid="{CBA65C9F-528B-4CA5-AFDD-C38CD40775BB}" scale="85" hiddenRows="1" hiddenColumns="1" topLeftCell="A4">
      <pane xSplit="1" ySplit="2" topLeftCell="BZ178" activePane="bottomRight" state="frozen"/>
      <selection pane="bottomRight" activeCell="CA203" sqref="CA203"/>
      <pageMargins left="0" right="0" top="0" bottom="0" header="0" footer="0"/>
      <pageSetup paperSize="5" orientation="landscape" r:id="rId17"/>
      <headerFooter alignWithMargins="0"/>
    </customSheetView>
    <customSheetView guid="{78CA186D-B240-44D5-8A24-D241DE0B0FD9}" scale="80" hiddenRows="1" hiddenColumns="1" topLeftCell="A4">
      <pane xSplit="1" ySplit="2" topLeftCell="BS191" activePane="bottomRight" state="frozen"/>
      <selection pane="bottomRight" activeCell="CF172" sqref="CF172"/>
      <pageMargins left="0" right="0" top="0" bottom="0" header="0" footer="0"/>
      <pageSetup paperSize="5" orientation="landscape" r:id="rId18"/>
      <headerFooter alignWithMargins="0"/>
    </customSheetView>
    <customSheetView guid="{5102CD51-6323-4C0C-991F-AF8276ECBB13}" scale="80" hiddenRows="1" hiddenColumns="1" topLeftCell="A4">
      <pane xSplit="1" ySplit="2" topLeftCell="CB6" activePane="bottomRight" state="frozen"/>
      <selection pane="bottomRight" activeCell="CF172" sqref="CF172"/>
      <pageMargins left="0.75" right="0.75" top="1" bottom="1" header="0.5" footer="0.5"/>
      <pageSetup paperSize="5" orientation="landscape" r:id="rId19"/>
      <headerFooter alignWithMargins="0"/>
    </customSheetView>
    <customSheetView guid="{FF124C4D-20DF-4C1B-B072-A9ABB2F1106A}" scale="80" topLeftCell="A4">
      <pane xSplit="1" ySplit="2" topLeftCell="B144" activePane="bottomRight" state="frozen"/>
      <selection pane="bottomRight" activeCell="A173" sqref="A173"/>
      <pageMargins left="0" right="0" top="0" bottom="0" header="0" footer="0"/>
      <pageSetup paperSize="5" orientation="landscape" r:id="rId20"/>
      <headerFooter alignWithMargins="0"/>
    </customSheetView>
    <customSheetView guid="{50528D02-548E-47E0-94D7-D1E79CD3569C}" scale="80" topLeftCell="A4">
      <pane xSplit="1" ySplit="2" topLeftCell="BT117" activePane="bottomRight" state="frozen"/>
      <selection pane="bottomRight" activeCell="CE137" sqref="CE137"/>
      <pageMargins left="0" right="0" top="0" bottom="0" header="0" footer="0"/>
      <pageSetup paperSize="5" orientation="landscape" r:id="rId21"/>
      <headerFooter alignWithMargins="0"/>
    </customSheetView>
  </customSheetViews>
  <mergeCells count="8">
    <mergeCell ref="CI4:CJ4"/>
    <mergeCell ref="CF4:CG4"/>
    <mergeCell ref="AA4:AA5"/>
    <mergeCell ref="M4:N4"/>
    <mergeCell ref="P4:Q4"/>
    <mergeCell ref="S4:T4"/>
    <mergeCell ref="V4:W4"/>
    <mergeCell ref="Y4:Z4"/>
  </mergeCells>
  <pageMargins left="0" right="0" top="0" bottom="0" header="0" footer="0"/>
  <pageSetup paperSize="5" orientation="landscape" r:id="rId22"/>
  <headerFooter alignWithMargins="0"/>
  <legacyDrawing r:id="rId2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1"/>
  <sheetViews>
    <sheetView workbookViewId="0">
      <selection activeCell="L30" sqref="L30"/>
    </sheetView>
  </sheetViews>
  <sheetFormatPr defaultRowHeight="12.75" x14ac:dyDescent="0.2"/>
  <cols>
    <col min="1" max="1" width="11" bestFit="1" customWidth="1"/>
    <col min="2" max="2" width="11.7109375" customWidth="1"/>
    <col min="4" max="4" width="12.42578125" customWidth="1"/>
  </cols>
  <sheetData>
    <row r="1" spans="1:9" ht="15" x14ac:dyDescent="0.25">
      <c r="A1" s="11"/>
      <c r="B1" s="11"/>
      <c r="D1" s="65" t="s">
        <v>488</v>
      </c>
      <c r="E1" s="65" t="s">
        <v>13</v>
      </c>
      <c r="H1" s="61"/>
    </row>
    <row r="2" spans="1:9" ht="15" x14ac:dyDescent="0.25">
      <c r="D2" s="66">
        <v>2000</v>
      </c>
      <c r="E2" s="66">
        <f>360.3/250.8</f>
        <v>1.4366028708133971</v>
      </c>
    </row>
    <row r="3" spans="1:9" ht="15" x14ac:dyDescent="0.25">
      <c r="D3" s="66">
        <v>2001</v>
      </c>
      <c r="E3" s="66">
        <f>360.3/258.8</f>
        <v>1.3921947449768162</v>
      </c>
    </row>
    <row r="4" spans="1:9" ht="15" x14ac:dyDescent="0.25">
      <c r="D4" s="66">
        <v>2002</v>
      </c>
      <c r="E4" s="66">
        <f>360.3/262.7</f>
        <v>1.3715264560334983</v>
      </c>
    </row>
    <row r="5" spans="1:9" ht="15" x14ac:dyDescent="0.25">
      <c r="D5" s="66">
        <v>2003</v>
      </c>
      <c r="E5" s="66">
        <f>360.3/268.9</f>
        <v>1.3399033097805877</v>
      </c>
    </row>
    <row r="6" spans="1:9" ht="15" x14ac:dyDescent="0.25">
      <c r="D6" s="66">
        <v>2004</v>
      </c>
      <c r="E6" s="66">
        <f>360.3/275.1</f>
        <v>1.3097055616139586</v>
      </c>
      <c r="I6" s="61"/>
    </row>
    <row r="7" spans="1:9" ht="15" x14ac:dyDescent="0.25">
      <c r="D7" s="66">
        <v>2005</v>
      </c>
      <c r="E7" s="66">
        <f>360.3/284.1</f>
        <v>1.2682154171066524</v>
      </c>
      <c r="I7" s="61"/>
    </row>
    <row r="8" spans="1:9" ht="15" x14ac:dyDescent="0.25">
      <c r="D8" s="66">
        <v>2006</v>
      </c>
      <c r="E8" s="66">
        <f>360.3/294.6</f>
        <v>1.2230142566191446</v>
      </c>
    </row>
    <row r="9" spans="1:9" ht="15" x14ac:dyDescent="0.25">
      <c r="D9" s="66">
        <v>2007</v>
      </c>
      <c r="E9" s="66">
        <f>360.3/301.6</f>
        <v>1.194628647214854</v>
      </c>
    </row>
    <row r="10" spans="1:9" ht="15" x14ac:dyDescent="0.25">
      <c r="D10" s="66">
        <v>2008</v>
      </c>
      <c r="E10" s="66">
        <f>360.3/314.9</f>
        <v>1.1441727532550017</v>
      </c>
    </row>
    <row r="11" spans="1:9" ht="15" x14ac:dyDescent="0.25">
      <c r="D11" s="66">
        <v>2009</v>
      </c>
      <c r="E11" s="66">
        <f>360.3/313.9</f>
        <v>1.1478177763618989</v>
      </c>
    </row>
    <row r="12" spans="1:9" ht="15" x14ac:dyDescent="0.25">
      <c r="D12" s="66">
        <v>2010</v>
      </c>
      <c r="E12" s="66">
        <f>360.3/319.2</f>
        <v>1.1287593984962407</v>
      </c>
    </row>
    <row r="13" spans="1:9" ht="15" x14ac:dyDescent="0.25">
      <c r="D13" s="66">
        <v>2011</v>
      </c>
      <c r="E13" s="66">
        <f>360.3/327.7</f>
        <v>1.0994812328349099</v>
      </c>
    </row>
    <row r="14" spans="1:9" ht="15" x14ac:dyDescent="0.25">
      <c r="D14" s="66">
        <v>2012</v>
      </c>
      <c r="E14" s="66">
        <f>360.3/335.6</f>
        <v>1.0735995232419546</v>
      </c>
    </row>
    <row r="15" spans="1:9" ht="15" x14ac:dyDescent="0.25">
      <c r="D15" s="66">
        <v>2013</v>
      </c>
      <c r="E15" s="66">
        <f>360.3/341.1</f>
        <v>1.0562884784520667</v>
      </c>
    </row>
    <row r="16" spans="1:9" ht="15" x14ac:dyDescent="0.25">
      <c r="D16" s="66">
        <v>2014</v>
      </c>
      <c r="E16" s="66">
        <f>360.3/346.3</f>
        <v>1.0404273751082875</v>
      </c>
    </row>
    <row r="17" spans="2:5" ht="15" x14ac:dyDescent="0.25">
      <c r="D17" s="66">
        <v>2015</v>
      </c>
      <c r="E17" s="66">
        <f>360.3/352.9</f>
        <v>1.0209691130631908</v>
      </c>
    </row>
    <row r="18" spans="2:5" ht="15" x14ac:dyDescent="0.25">
      <c r="D18" s="66">
        <v>2016</v>
      </c>
      <c r="E18">
        <f>360.3/360.3</f>
        <v>1</v>
      </c>
    </row>
    <row r="21" spans="2:5" x14ac:dyDescent="0.2">
      <c r="B21" t="s">
        <v>489</v>
      </c>
    </row>
  </sheetData>
  <customSheetViews>
    <customSheetView guid="{AEFEB150-9213-45F5-A178-7AC71E46DB11}">
      <selection activeCell="L30" sqref="L30"/>
      <pageMargins left="0" right="0" top="0" bottom="0" header="0" footer="0"/>
      <pageSetup orientation="portrait" r:id="rId1"/>
      <headerFooter alignWithMargins="0"/>
    </customSheetView>
    <customSheetView guid="{AB763728-FC8E-40B1-8BAD-FF6772AD9A46}">
      <selection activeCell="L30" sqref="L30"/>
      <pageMargins left="0" right="0" top="0" bottom="0" header="0" footer="0"/>
      <pageSetup orientation="portrait" r:id="rId2"/>
      <headerFooter alignWithMargins="0"/>
    </customSheetView>
    <customSheetView guid="{08B0A6E6-0C62-4331-9E9A-05DFF5B8DF5B}">
      <selection activeCell="E10" sqref="E10:E17"/>
      <pageMargins left="0" right="0" top="0" bottom="0" header="0" footer="0"/>
      <pageSetup orientation="portrait" r:id="rId3"/>
      <headerFooter alignWithMargins="0"/>
    </customSheetView>
    <customSheetView guid="{70E2A0B1-0EA6-43AE-8715-395179465BE5}">
      <selection activeCell="E15" sqref="E15"/>
      <pageMargins left="0" right="0" top="0" bottom="0" header="0" footer="0"/>
      <pageSetup orientation="portrait" r:id="rId4"/>
      <headerFooter alignWithMargins="0"/>
    </customSheetView>
    <customSheetView guid="{34052DE1-5E82-4B7C-8FA6-8E533676FB0A}">
      <selection activeCell="E15" sqref="E15"/>
      <pageMargins left="0" right="0" top="0" bottom="0" header="0" footer="0"/>
      <pageSetup orientation="portrait" r:id="rId5"/>
      <headerFooter alignWithMargins="0"/>
    </customSheetView>
    <customSheetView guid="{A2518DB3-3A80-4035-9307-EC50A7C923F2}">
      <selection activeCell="E15" sqref="E15"/>
      <pageMargins left="0" right="0" top="0" bottom="0" header="0" footer="0"/>
      <pageSetup orientation="portrait" r:id="rId6"/>
      <headerFooter alignWithMargins="0"/>
    </customSheetView>
    <customSheetView guid="{E81D05A4-5B21-42D3-A8D3-906ABCABC0F4}">
      <selection activeCell="E15" sqref="E15"/>
      <pageMargins left="0" right="0" top="0" bottom="0" header="0" footer="0"/>
      <pageSetup orientation="portrait" r:id="rId7"/>
      <headerFooter alignWithMargins="0"/>
    </customSheetView>
    <customSheetView guid="{E44F5FE1-54FC-4AB3-84F9-7D65ACF2DDE7}">
      <selection activeCell="F12" sqref="F12"/>
      <pageMargins left="0" right="0" top="0" bottom="0" header="0" footer="0"/>
      <pageSetup orientation="portrait" r:id="rId8"/>
      <headerFooter alignWithMargins="0"/>
    </customSheetView>
    <customSheetView guid="{94DA13B6-7351-40F3-8CF7-A4211EC439DA}">
      <selection activeCell="F12" sqref="F12"/>
      <pageMargins left="0" right="0" top="0" bottom="0" header="0" footer="0"/>
      <pageSetup orientation="portrait" r:id="rId9"/>
      <headerFooter alignWithMargins="0"/>
    </customSheetView>
    <customSheetView guid="{8F508F4D-4777-42BE-9707-8CB9355F7BDB}">
      <selection activeCell="F12" sqref="F12"/>
      <pageMargins left="0" right="0" top="0" bottom="0" header="0" footer="0"/>
      <pageSetup orientation="portrait" r:id="rId10"/>
      <headerFooter alignWithMargins="0"/>
    </customSheetView>
    <customSheetView guid="{F784130D-F647-4ABA-8943-C79CA5B0FDC4}">
      <selection activeCell="F23" sqref="F23"/>
      <pageMargins left="0" right="0" top="0" bottom="0" header="0" footer="0"/>
      <pageSetup orientation="portrait" r:id="rId11"/>
      <headerFooter alignWithMargins="0"/>
    </customSheetView>
    <customSheetView guid="{1E5198E1-BA46-4CE0-8628-4F695B0D7A3B}">
      <selection activeCell="F12" sqref="F12"/>
      <pageMargins left="0" right="0" top="0" bottom="0" header="0" footer="0"/>
      <pageSetup orientation="portrait" r:id="rId12"/>
      <headerFooter alignWithMargins="0"/>
    </customSheetView>
    <customSheetView guid="{455630F5-40FC-47DB-8AD4-712C20B8FB91}">
      <selection activeCell="E15" sqref="E15"/>
      <pageMargins left="0" right="0" top="0" bottom="0" header="0" footer="0"/>
      <pageSetup orientation="portrait" r:id="rId13"/>
      <headerFooter alignWithMargins="0"/>
    </customSheetView>
    <customSheetView guid="{9D4F0482-B164-4671-805A-E0D2D4DD4720}">
      <selection activeCell="A2" sqref="A2"/>
      <pageMargins left="0" right="0" top="0" bottom="0" header="0" footer="0"/>
      <pageSetup orientation="portrait" r:id="rId14"/>
      <headerFooter alignWithMargins="0"/>
    </customSheetView>
    <customSheetView guid="{567C3053-2D8E-4705-8DC7-18896C5303CA}" showPageBreaks="1">
      <selection activeCell="F12" sqref="F12"/>
      <pageMargins left="0" right="0" top="0" bottom="0" header="0" footer="0"/>
      <pageSetup orientation="portrait" r:id="rId15"/>
      <headerFooter alignWithMargins="0"/>
    </customSheetView>
    <customSheetView guid="{7A9890A5-7CC2-466F-AA52-39E8D428DC1C}">
      <selection activeCell="A12" sqref="A12"/>
      <pageMargins left="0" right="0" top="0" bottom="0" header="0" footer="0"/>
      <pageSetup orientation="portrait" r:id="rId16"/>
      <headerFooter alignWithMargins="0"/>
    </customSheetView>
    <customSheetView guid="{CBA65C9F-528B-4CA5-AFDD-C38CD40775BB}">
      <selection activeCell="L30" sqref="L30"/>
      <pageMargins left="0" right="0" top="0" bottom="0" header="0" footer="0"/>
      <pageSetup orientation="portrait" r:id="rId17"/>
      <headerFooter alignWithMargins="0"/>
    </customSheetView>
    <customSheetView guid="{78CA186D-B240-44D5-8A24-D241DE0B0FD9}">
      <selection activeCell="E10" sqref="E10:E17"/>
      <pageMargins left="0" right="0" top="0" bottom="0" header="0" footer="0"/>
      <pageSetup orientation="portrait" r:id="rId18"/>
      <headerFooter alignWithMargins="0"/>
    </customSheetView>
    <customSheetView guid="{5102CD51-6323-4C0C-991F-AF8276ECBB13}">
      <selection activeCell="I7" sqref="I7"/>
      <pageMargins left="0.75" right="0.75" top="1" bottom="1" header="0.5" footer="0.5"/>
      <pageSetup orientation="portrait" r:id="rId19"/>
      <headerFooter alignWithMargins="0"/>
    </customSheetView>
    <customSheetView guid="{FF124C4D-20DF-4C1B-B072-A9ABB2F1106A}">
      <selection activeCell="E15" sqref="E15"/>
      <pageMargins left="0" right="0" top="0" bottom="0" header="0" footer="0"/>
      <pageSetup orientation="portrait" r:id="rId20"/>
      <headerFooter alignWithMargins="0"/>
    </customSheetView>
    <customSheetView guid="{50528D02-548E-47E0-94D7-D1E79CD3569C}">
      <selection activeCell="E15" sqref="E15"/>
      <pageMargins left="0" right="0" top="0" bottom="0" header="0" footer="0"/>
      <pageSetup orientation="portrait" r:id="rId21"/>
      <headerFooter alignWithMargins="0"/>
    </customSheetView>
  </customSheetViews>
  <phoneticPr fontId="9" type="noConversion"/>
  <pageMargins left="0" right="0" top="0" bottom="0" header="0" footer="0"/>
  <pageSetup orientation="portrait" r:id="rId22"/>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05"/>
  <sheetViews>
    <sheetView topLeftCell="A4" workbookViewId="0">
      <selection activeCell="B14" sqref="B14"/>
    </sheetView>
  </sheetViews>
  <sheetFormatPr defaultRowHeight="15" x14ac:dyDescent="0.25"/>
  <cols>
    <col min="1" max="1" width="39" style="684" customWidth="1"/>
    <col min="2" max="2" width="9.140625" style="685" customWidth="1"/>
    <col min="3" max="3" width="9.140625" style="684" customWidth="1"/>
    <col min="4" max="16384" width="9.140625" style="66"/>
  </cols>
  <sheetData>
    <row r="1" spans="1:11" x14ac:dyDescent="0.25">
      <c r="A1" s="317"/>
      <c r="B1" s="317"/>
      <c r="C1" s="317"/>
    </row>
    <row r="2" spans="1:11" ht="221.25" customHeight="1" x14ac:dyDescent="0.25">
      <c r="A2" s="696" t="s">
        <v>490</v>
      </c>
      <c r="B2" s="317" t="s">
        <v>494</v>
      </c>
      <c r="C2" s="317" t="s">
        <v>495</v>
      </c>
    </row>
    <row r="3" spans="1:11" x14ac:dyDescent="0.25">
      <c r="A3" s="317" t="s">
        <v>130</v>
      </c>
      <c r="B3" s="317">
        <v>662</v>
      </c>
      <c r="C3" s="317" t="s">
        <v>497</v>
      </c>
    </row>
    <row r="4" spans="1:11" x14ac:dyDescent="0.25">
      <c r="B4" s="781">
        <v>2254</v>
      </c>
      <c r="C4" s="68" t="s">
        <v>498</v>
      </c>
    </row>
    <row r="5" spans="1:11" x14ac:dyDescent="0.25">
      <c r="B5" s="781">
        <v>1596</v>
      </c>
      <c r="C5" s="68" t="s">
        <v>501</v>
      </c>
      <c r="K5" s="8"/>
    </row>
    <row r="6" spans="1:11" x14ac:dyDescent="0.25">
      <c r="A6" s="317" t="s">
        <v>502</v>
      </c>
      <c r="B6" s="782">
        <v>5356</v>
      </c>
      <c r="C6" s="68" t="s">
        <v>503</v>
      </c>
      <c r="K6" s="8"/>
    </row>
    <row r="7" spans="1:11" x14ac:dyDescent="0.25">
      <c r="A7" s="317" t="s">
        <v>504</v>
      </c>
      <c r="B7" s="782">
        <v>3058</v>
      </c>
      <c r="C7" s="68" t="s">
        <v>505</v>
      </c>
      <c r="K7" s="204"/>
    </row>
    <row r="8" spans="1:11" x14ac:dyDescent="0.25">
      <c r="A8" s="693" t="s">
        <v>506</v>
      </c>
      <c r="B8" s="310">
        <v>2001</v>
      </c>
      <c r="C8" s="68" t="s">
        <v>507</v>
      </c>
    </row>
    <row r="9" spans="1:11" x14ac:dyDescent="0.25">
      <c r="A9" s="693" t="s">
        <v>515</v>
      </c>
      <c r="B9" s="310">
        <v>2177</v>
      </c>
      <c r="C9" s="68" t="s">
        <v>516</v>
      </c>
    </row>
    <row r="10" spans="1:11" x14ac:dyDescent="0.25">
      <c r="A10" s="693" t="s">
        <v>515</v>
      </c>
      <c r="B10" s="310">
        <v>490</v>
      </c>
      <c r="C10" s="68" t="s">
        <v>516</v>
      </c>
    </row>
    <row r="11" spans="1:11" x14ac:dyDescent="0.25">
      <c r="A11" s="693" t="s">
        <v>120</v>
      </c>
      <c r="B11" s="310">
        <v>2177</v>
      </c>
      <c r="C11" s="68" t="s">
        <v>517</v>
      </c>
    </row>
    <row r="12" spans="1:11" x14ac:dyDescent="0.25">
      <c r="A12" s="693" t="s">
        <v>120</v>
      </c>
      <c r="B12" s="310">
        <v>490</v>
      </c>
      <c r="C12" s="68" t="s">
        <v>517</v>
      </c>
    </row>
    <row r="13" spans="1:11" x14ac:dyDescent="0.25">
      <c r="A13" s="785" t="s">
        <v>518</v>
      </c>
      <c r="B13" s="786">
        <v>1000</v>
      </c>
      <c r="C13" s="68" t="s">
        <v>519</v>
      </c>
    </row>
    <row r="14" spans="1:11" x14ac:dyDescent="0.25">
      <c r="A14" s="785" t="s">
        <v>520</v>
      </c>
      <c r="B14" s="68">
        <v>1000</v>
      </c>
      <c r="C14" s="68" t="s">
        <v>521</v>
      </c>
    </row>
    <row r="15" spans="1:11" x14ac:dyDescent="0.25">
      <c r="A15" s="317"/>
      <c r="B15" s="68"/>
      <c r="C15" s="68"/>
    </row>
    <row r="16" spans="1:11" x14ac:dyDescent="0.25">
      <c r="A16" s="317"/>
      <c r="B16" s="682"/>
      <c r="C16" s="68"/>
    </row>
    <row r="17" spans="1:3" x14ac:dyDescent="0.25">
      <c r="A17" s="681"/>
      <c r="B17" s="68"/>
      <c r="C17" s="68"/>
    </row>
    <row r="18" spans="1:3" x14ac:dyDescent="0.25">
      <c r="A18" s="680"/>
      <c r="B18" s="68"/>
      <c r="C18" s="68"/>
    </row>
    <row r="19" spans="1:3" x14ac:dyDescent="0.25">
      <c r="A19" s="64"/>
      <c r="B19" s="68"/>
      <c r="C19" s="68"/>
    </row>
    <row r="20" spans="1:3" x14ac:dyDescent="0.25">
      <c r="A20" s="65"/>
      <c r="B20" s="66"/>
      <c r="C20" s="66"/>
    </row>
    <row r="21" spans="1:3" x14ac:dyDescent="0.25">
      <c r="A21" s="64"/>
      <c r="B21" s="66"/>
      <c r="C21" s="66"/>
    </row>
    <row r="22" spans="1:3" x14ac:dyDescent="0.25">
      <c r="A22" s="680"/>
      <c r="B22" s="66"/>
      <c r="C22" s="66"/>
    </row>
    <row r="23" spans="1:3" x14ac:dyDescent="0.25">
      <c r="A23" s="66"/>
      <c r="B23" s="66"/>
      <c r="C23" s="66"/>
    </row>
    <row r="24" spans="1:3" x14ac:dyDescent="0.25">
      <c r="A24" s="66"/>
      <c r="B24" s="66"/>
      <c r="C24" s="66"/>
    </row>
    <row r="25" spans="1:3" x14ac:dyDescent="0.25">
      <c r="A25" s="335"/>
      <c r="B25" s="68"/>
      <c r="C25" s="68"/>
    </row>
    <row r="26" spans="1:3" x14ac:dyDescent="0.25">
      <c r="A26" s="68"/>
      <c r="B26" s="68"/>
      <c r="C26" s="68"/>
    </row>
    <row r="27" spans="1:3" x14ac:dyDescent="0.25">
      <c r="A27" s="68"/>
      <c r="B27" s="68"/>
      <c r="C27" s="68"/>
    </row>
    <row r="28" spans="1:3" x14ac:dyDescent="0.25">
      <c r="A28" s="68"/>
      <c r="B28" s="68"/>
      <c r="C28" s="68"/>
    </row>
    <row r="29" spans="1:3" x14ac:dyDescent="0.25">
      <c r="A29" s="335"/>
      <c r="B29" s="68"/>
      <c r="C29" s="68"/>
    </row>
    <row r="30" spans="1:3" x14ac:dyDescent="0.25">
      <c r="A30" s="317" t="s">
        <v>496</v>
      </c>
      <c r="B30" s="68"/>
      <c r="C30" s="68"/>
    </row>
    <row r="31" spans="1:3" x14ac:dyDescent="0.25">
      <c r="A31" s="317" t="s">
        <v>500</v>
      </c>
      <c r="B31" s="68"/>
      <c r="C31" s="68"/>
    </row>
    <row r="32" spans="1:3" x14ac:dyDescent="0.25">
      <c r="A32" s="682"/>
      <c r="B32" s="68"/>
      <c r="C32" s="68"/>
    </row>
    <row r="33" spans="1:3" x14ac:dyDescent="0.25">
      <c r="A33" s="683"/>
      <c r="B33" s="68"/>
      <c r="C33" s="68"/>
    </row>
    <row r="34" spans="1:3" x14ac:dyDescent="0.25">
      <c r="A34" s="682"/>
      <c r="B34" s="68"/>
      <c r="C34" s="68"/>
    </row>
    <row r="35" spans="1:3" x14ac:dyDescent="0.25">
      <c r="A35" s="68"/>
      <c r="B35" s="68"/>
      <c r="C35" s="68"/>
    </row>
    <row r="36" spans="1:3" x14ac:dyDescent="0.25">
      <c r="A36" s="68"/>
      <c r="B36" s="68"/>
      <c r="C36" s="68"/>
    </row>
    <row r="37" spans="1:3" x14ac:dyDescent="0.25">
      <c r="A37" s="68"/>
      <c r="B37" s="68"/>
      <c r="C37" s="68"/>
    </row>
    <row r="38" spans="1:3" x14ac:dyDescent="0.25">
      <c r="A38" s="68"/>
      <c r="B38" s="68"/>
      <c r="C38" s="68"/>
    </row>
    <row r="39" spans="1:3" x14ac:dyDescent="0.25">
      <c r="A39" s="68"/>
      <c r="B39" s="68"/>
      <c r="C39" s="68"/>
    </row>
    <row r="40" spans="1:3" x14ac:dyDescent="0.25">
      <c r="A40" s="335"/>
      <c r="B40" s="68"/>
      <c r="C40" s="68"/>
    </row>
    <row r="41" spans="1:3" x14ac:dyDescent="0.25">
      <c r="A41" s="68"/>
      <c r="B41" s="68"/>
      <c r="C41" s="68"/>
    </row>
    <row r="42" spans="1:3" x14ac:dyDescent="0.25">
      <c r="A42" s="68"/>
      <c r="B42" s="68"/>
      <c r="C42" s="68"/>
    </row>
    <row r="43" spans="1:3" x14ac:dyDescent="0.25">
      <c r="A43" s="68"/>
      <c r="B43" s="68"/>
      <c r="C43" s="68"/>
    </row>
    <row r="44" spans="1:3" x14ac:dyDescent="0.25">
      <c r="A44" s="335"/>
      <c r="B44" s="68"/>
      <c r="C44" s="68"/>
    </row>
    <row r="45" spans="1:3" x14ac:dyDescent="0.25">
      <c r="A45" s="335"/>
      <c r="B45" s="68"/>
      <c r="C45" s="68"/>
    </row>
    <row r="46" spans="1:3" x14ac:dyDescent="0.25">
      <c r="A46" s="578"/>
      <c r="B46" s="68"/>
      <c r="C46" s="68"/>
    </row>
    <row r="47" spans="1:3" x14ac:dyDescent="0.25">
      <c r="A47" s="578"/>
      <c r="B47" s="68"/>
      <c r="C47" s="68"/>
    </row>
    <row r="48" spans="1:3" x14ac:dyDescent="0.25">
      <c r="A48" s="578"/>
      <c r="B48" s="68"/>
      <c r="C48" s="68"/>
    </row>
    <row r="49" spans="1:3" x14ac:dyDescent="0.25">
      <c r="A49" s="578"/>
      <c r="B49" s="68"/>
      <c r="C49" s="68"/>
    </row>
    <row r="50" spans="1:3" x14ac:dyDescent="0.25">
      <c r="A50" s="578"/>
      <c r="B50" s="68"/>
      <c r="C50" s="68"/>
    </row>
    <row r="51" spans="1:3" x14ac:dyDescent="0.25">
      <c r="A51" s="335"/>
      <c r="B51" s="68"/>
      <c r="C51" s="68"/>
    </row>
    <row r="52" spans="1:3" x14ac:dyDescent="0.25">
      <c r="A52" s="68"/>
      <c r="B52" s="68"/>
      <c r="C52" s="68"/>
    </row>
    <row r="53" spans="1:3" x14ac:dyDescent="0.25">
      <c r="A53" s="68"/>
      <c r="B53" s="68"/>
      <c r="C53" s="68"/>
    </row>
    <row r="54" spans="1:3" x14ac:dyDescent="0.25">
      <c r="A54" s="68"/>
      <c r="B54" s="68"/>
      <c r="C54" s="68"/>
    </row>
    <row r="55" spans="1:3" x14ac:dyDescent="0.25">
      <c r="A55" s="68"/>
      <c r="B55" s="68"/>
      <c r="C55" s="68"/>
    </row>
    <row r="56" spans="1:3" x14ac:dyDescent="0.25">
      <c r="A56" s="68"/>
      <c r="B56" s="68"/>
      <c r="C56" s="68"/>
    </row>
    <row r="57" spans="1:3" x14ac:dyDescent="0.25">
      <c r="A57" s="68"/>
      <c r="B57" s="68"/>
      <c r="C57" s="68"/>
    </row>
    <row r="58" spans="1:3" x14ac:dyDescent="0.25">
      <c r="A58" s="68"/>
      <c r="B58" s="68"/>
      <c r="C58" s="68"/>
    </row>
    <row r="59" spans="1:3" x14ac:dyDescent="0.25">
      <c r="A59" s="68"/>
      <c r="B59" s="68"/>
      <c r="C59" s="68"/>
    </row>
    <row r="60" spans="1:3" x14ac:dyDescent="0.25">
      <c r="A60" s="68"/>
      <c r="B60" s="68"/>
      <c r="C60" s="68"/>
    </row>
    <row r="61" spans="1:3" x14ac:dyDescent="0.25">
      <c r="A61" s="68"/>
      <c r="B61" s="68"/>
      <c r="C61" s="68"/>
    </row>
    <row r="62" spans="1:3" x14ac:dyDescent="0.25">
      <c r="A62" s="68"/>
      <c r="B62" s="68"/>
      <c r="C62" s="68"/>
    </row>
    <row r="63" spans="1:3" x14ac:dyDescent="0.25">
      <c r="A63" s="68"/>
      <c r="B63" s="68"/>
      <c r="C63" s="68"/>
    </row>
    <row r="64" spans="1:3" x14ac:dyDescent="0.25">
      <c r="A64" s="68"/>
      <c r="B64" s="68"/>
      <c r="C64" s="68"/>
    </row>
    <row r="65" spans="1:3" x14ac:dyDescent="0.25">
      <c r="A65" s="68"/>
      <c r="B65" s="68"/>
      <c r="C65" s="68"/>
    </row>
    <row r="66" spans="1:3" x14ac:dyDescent="0.25">
      <c r="A66" s="68"/>
      <c r="B66" s="68"/>
      <c r="C66" s="68"/>
    </row>
    <row r="67" spans="1:3" x14ac:dyDescent="0.25">
      <c r="A67" s="68"/>
      <c r="B67" s="68"/>
      <c r="C67" s="68"/>
    </row>
    <row r="68" spans="1:3" x14ac:dyDescent="0.25">
      <c r="A68" s="68"/>
      <c r="B68" s="68"/>
      <c r="C68" s="68"/>
    </row>
    <row r="69" spans="1:3" x14ac:dyDescent="0.25">
      <c r="A69" s="68"/>
      <c r="B69" s="68"/>
      <c r="C69" s="68"/>
    </row>
    <row r="70" spans="1:3" x14ac:dyDescent="0.25">
      <c r="A70" s="68"/>
      <c r="B70" s="68"/>
      <c r="C70" s="68"/>
    </row>
    <row r="71" spans="1:3" x14ac:dyDescent="0.25">
      <c r="A71" s="335"/>
      <c r="B71" s="68"/>
      <c r="C71" s="68"/>
    </row>
    <row r="72" spans="1:3" x14ac:dyDescent="0.25">
      <c r="A72" s="335"/>
      <c r="B72" s="68"/>
      <c r="C72" s="68"/>
    </row>
    <row r="73" spans="1:3" x14ac:dyDescent="0.25">
      <c r="A73" s="578"/>
      <c r="B73" s="68"/>
      <c r="C73" s="68"/>
    </row>
    <row r="74" spans="1:3" x14ac:dyDescent="0.25">
      <c r="A74" s="578"/>
      <c r="B74" s="68"/>
      <c r="C74" s="68"/>
    </row>
    <row r="75" spans="1:3" x14ac:dyDescent="0.25">
      <c r="A75" s="578"/>
      <c r="B75" s="68"/>
      <c r="C75" s="68"/>
    </row>
    <row r="76" spans="1:3" x14ac:dyDescent="0.25">
      <c r="A76" s="578"/>
      <c r="B76" s="68"/>
      <c r="C76" s="68"/>
    </row>
    <row r="77" spans="1:3" x14ac:dyDescent="0.25">
      <c r="A77" s="578"/>
      <c r="B77" s="68"/>
      <c r="C77" s="68"/>
    </row>
    <row r="78" spans="1:3" x14ac:dyDescent="0.25">
      <c r="A78" s="578"/>
      <c r="B78" s="68"/>
      <c r="C78" s="68"/>
    </row>
    <row r="79" spans="1:3" x14ac:dyDescent="0.25">
      <c r="A79" s="335"/>
      <c r="B79" s="68"/>
      <c r="C79" s="68"/>
    </row>
    <row r="80" spans="1:3" x14ac:dyDescent="0.25">
      <c r="A80" s="68"/>
      <c r="B80" s="68"/>
      <c r="C80" s="68"/>
    </row>
    <row r="81" spans="1:3" x14ac:dyDescent="0.25">
      <c r="A81" s="68"/>
      <c r="B81" s="68"/>
      <c r="C81" s="68"/>
    </row>
    <row r="82" spans="1:3" x14ac:dyDescent="0.25">
      <c r="A82" s="68"/>
      <c r="B82" s="68"/>
      <c r="C82" s="68"/>
    </row>
    <row r="83" spans="1:3" x14ac:dyDescent="0.25">
      <c r="A83" s="68"/>
      <c r="B83" s="68"/>
      <c r="C83" s="68"/>
    </row>
    <row r="84" spans="1:3" x14ac:dyDescent="0.25">
      <c r="A84" s="68"/>
      <c r="B84" s="68"/>
      <c r="C84" s="68"/>
    </row>
    <row r="85" spans="1:3" x14ac:dyDescent="0.25">
      <c r="A85" s="68"/>
      <c r="B85" s="68"/>
      <c r="C85" s="68"/>
    </row>
    <row r="86" spans="1:3" x14ac:dyDescent="0.25">
      <c r="A86" s="68"/>
      <c r="B86" s="68"/>
      <c r="C86" s="68"/>
    </row>
    <row r="87" spans="1:3" x14ac:dyDescent="0.25">
      <c r="A87" s="68"/>
      <c r="B87" s="68"/>
      <c r="C87" s="68"/>
    </row>
    <row r="88" spans="1:3" x14ac:dyDescent="0.25">
      <c r="A88" s="68"/>
      <c r="B88" s="68"/>
      <c r="C88" s="68"/>
    </row>
    <row r="89" spans="1:3" x14ac:dyDescent="0.25">
      <c r="A89" s="68"/>
      <c r="B89" s="68"/>
      <c r="C89" s="68"/>
    </row>
    <row r="90" spans="1:3" x14ac:dyDescent="0.25">
      <c r="A90" s="68"/>
      <c r="B90" s="68"/>
      <c r="C90" s="68"/>
    </row>
    <row r="91" spans="1:3" x14ac:dyDescent="0.25">
      <c r="A91" s="68"/>
      <c r="B91" s="68"/>
      <c r="C91" s="68"/>
    </row>
    <row r="92" spans="1:3" x14ac:dyDescent="0.25">
      <c r="A92" s="68"/>
      <c r="B92" s="68"/>
      <c r="C92" s="68"/>
    </row>
    <row r="93" spans="1:3" x14ac:dyDescent="0.25">
      <c r="A93" s="68"/>
      <c r="B93" s="68"/>
      <c r="C93" s="68"/>
    </row>
    <row r="94" spans="1:3" x14ac:dyDescent="0.25">
      <c r="A94" s="68"/>
      <c r="B94" s="68"/>
      <c r="C94" s="68"/>
    </row>
    <row r="95" spans="1:3" x14ac:dyDescent="0.25">
      <c r="A95" s="68"/>
      <c r="B95" s="68"/>
      <c r="C95" s="68"/>
    </row>
    <row r="96" spans="1:3" x14ac:dyDescent="0.25">
      <c r="A96" s="68"/>
      <c r="B96" s="68"/>
      <c r="C96" s="68"/>
    </row>
    <row r="97" spans="1:3" x14ac:dyDescent="0.25">
      <c r="A97" s="68"/>
      <c r="B97" s="68"/>
      <c r="C97" s="68"/>
    </row>
    <row r="98" spans="1:3" x14ac:dyDescent="0.25">
      <c r="A98" s="68"/>
      <c r="B98" s="68"/>
      <c r="C98" s="68"/>
    </row>
    <row r="99" spans="1:3" x14ac:dyDescent="0.25">
      <c r="A99" s="335"/>
      <c r="B99" s="68"/>
      <c r="C99" s="68"/>
    </row>
    <row r="100" spans="1:3" x14ac:dyDescent="0.25">
      <c r="A100" s="335"/>
      <c r="B100" s="68"/>
      <c r="C100" s="68"/>
    </row>
    <row r="101" spans="1:3" x14ac:dyDescent="0.25">
      <c r="A101" s="578"/>
      <c r="B101" s="68"/>
      <c r="C101" s="68"/>
    </row>
    <row r="102" spans="1:3" x14ac:dyDescent="0.25">
      <c r="A102" s="578"/>
      <c r="B102" s="68"/>
      <c r="C102" s="68"/>
    </row>
    <row r="103" spans="1:3" x14ac:dyDescent="0.25">
      <c r="A103" s="578"/>
      <c r="B103" s="68"/>
      <c r="C103" s="68"/>
    </row>
    <row r="104" spans="1:3" x14ac:dyDescent="0.25">
      <c r="A104" s="578"/>
      <c r="B104" s="68"/>
      <c r="C104" s="68"/>
    </row>
    <row r="105" spans="1:3" x14ac:dyDescent="0.25">
      <c r="A105" s="578"/>
      <c r="B105" s="68"/>
      <c r="C105" s="68"/>
    </row>
    <row r="106" spans="1:3" x14ac:dyDescent="0.25">
      <c r="A106" s="335"/>
      <c r="B106" s="68"/>
      <c r="C106" s="68"/>
    </row>
    <row r="107" spans="1:3" x14ac:dyDescent="0.25">
      <c r="A107" s="335"/>
      <c r="B107" s="68"/>
      <c r="C107" s="68"/>
    </row>
    <row r="108" spans="1:3" x14ac:dyDescent="0.25">
      <c r="A108" s="68"/>
      <c r="B108" s="68"/>
      <c r="C108" s="68"/>
    </row>
    <row r="109" spans="1:3" x14ac:dyDescent="0.25">
      <c r="A109" s="68"/>
      <c r="B109" s="68"/>
      <c r="C109" s="68"/>
    </row>
    <row r="110" spans="1:3" x14ac:dyDescent="0.25">
      <c r="A110" s="68"/>
      <c r="B110" s="68"/>
      <c r="C110" s="68"/>
    </row>
    <row r="111" spans="1:3" x14ac:dyDescent="0.25">
      <c r="A111" s="68"/>
      <c r="B111" s="68"/>
      <c r="C111" s="68"/>
    </row>
    <row r="112" spans="1:3" x14ac:dyDescent="0.25">
      <c r="A112" s="68"/>
      <c r="B112" s="68"/>
      <c r="C112" s="68"/>
    </row>
    <row r="113" spans="1:3" x14ac:dyDescent="0.25">
      <c r="A113" s="68"/>
      <c r="B113" s="68"/>
      <c r="C113" s="68"/>
    </row>
    <row r="114" spans="1:3" x14ac:dyDescent="0.25">
      <c r="A114" s="68"/>
      <c r="B114" s="68"/>
      <c r="C114" s="68"/>
    </row>
    <row r="115" spans="1:3" x14ac:dyDescent="0.25">
      <c r="A115" s="68"/>
      <c r="B115" s="68"/>
      <c r="C115" s="68"/>
    </row>
    <row r="116" spans="1:3" x14ac:dyDescent="0.25">
      <c r="A116" s="68"/>
      <c r="B116" s="68"/>
      <c r="C116" s="68"/>
    </row>
    <row r="117" spans="1:3" x14ac:dyDescent="0.25">
      <c r="A117" s="68"/>
      <c r="B117" s="68"/>
      <c r="C117" s="68"/>
    </row>
    <row r="118" spans="1:3" x14ac:dyDescent="0.25">
      <c r="A118" s="68"/>
      <c r="B118" s="68"/>
      <c r="C118" s="68"/>
    </row>
    <row r="119" spans="1:3" x14ac:dyDescent="0.25">
      <c r="A119" s="335"/>
      <c r="B119" s="68"/>
      <c r="C119" s="68"/>
    </row>
    <row r="120" spans="1:3" x14ac:dyDescent="0.25">
      <c r="A120" s="335"/>
      <c r="B120" s="68"/>
      <c r="C120" s="68"/>
    </row>
    <row r="121" spans="1:3" x14ac:dyDescent="0.25">
      <c r="A121" s="578"/>
      <c r="B121" s="68"/>
      <c r="C121" s="68"/>
    </row>
    <row r="122" spans="1:3" x14ac:dyDescent="0.25">
      <c r="A122" s="578"/>
      <c r="B122" s="68"/>
      <c r="C122" s="68"/>
    </row>
    <row r="123" spans="1:3" x14ac:dyDescent="0.25">
      <c r="A123" s="578"/>
      <c r="B123" s="68"/>
      <c r="C123" s="68"/>
    </row>
    <row r="124" spans="1:3" x14ac:dyDescent="0.25">
      <c r="A124" s="578"/>
      <c r="B124" s="68"/>
      <c r="C124" s="68"/>
    </row>
    <row r="125" spans="1:3" x14ac:dyDescent="0.25">
      <c r="A125" s="578"/>
      <c r="B125" s="68"/>
      <c r="C125" s="68"/>
    </row>
    <row r="126" spans="1:3" x14ac:dyDescent="0.25">
      <c r="A126" s="578"/>
      <c r="B126" s="68"/>
      <c r="C126" s="68"/>
    </row>
    <row r="127" spans="1:3" x14ac:dyDescent="0.25">
      <c r="A127" s="578"/>
      <c r="B127" s="68"/>
      <c r="C127" s="68"/>
    </row>
    <row r="128" spans="1:3" x14ac:dyDescent="0.25">
      <c r="A128" s="578"/>
      <c r="B128" s="68"/>
      <c r="C128" s="68"/>
    </row>
    <row r="129" spans="1:3" x14ac:dyDescent="0.25">
      <c r="A129" s="335"/>
      <c r="B129" s="68"/>
      <c r="C129" s="68"/>
    </row>
    <row r="130" spans="1:3" x14ac:dyDescent="0.25">
      <c r="A130" s="68"/>
      <c r="B130" s="68"/>
      <c r="C130" s="68"/>
    </row>
    <row r="131" spans="1:3" x14ac:dyDescent="0.25">
      <c r="A131" s="68"/>
      <c r="B131" s="68"/>
      <c r="C131" s="68"/>
    </row>
    <row r="132" spans="1:3" x14ac:dyDescent="0.25">
      <c r="A132" s="68"/>
      <c r="B132" s="68"/>
      <c r="C132" s="68"/>
    </row>
    <row r="133" spans="1:3" x14ac:dyDescent="0.25">
      <c r="A133" s="68"/>
      <c r="B133" s="68"/>
      <c r="C133" s="68"/>
    </row>
    <row r="134" spans="1:3" x14ac:dyDescent="0.25">
      <c r="A134" s="68"/>
      <c r="B134" s="68"/>
      <c r="C134" s="68"/>
    </row>
    <row r="135" spans="1:3" x14ac:dyDescent="0.25">
      <c r="A135" s="68"/>
      <c r="B135" s="68"/>
      <c r="C135" s="68"/>
    </row>
    <row r="136" spans="1:3" x14ac:dyDescent="0.25">
      <c r="A136" s="68"/>
      <c r="B136" s="68"/>
      <c r="C136" s="68"/>
    </row>
    <row r="137" spans="1:3" x14ac:dyDescent="0.25">
      <c r="A137" s="68"/>
      <c r="B137" s="68"/>
      <c r="C137" s="68"/>
    </row>
    <row r="138" spans="1:3" x14ac:dyDescent="0.25">
      <c r="A138" s="68"/>
      <c r="B138" s="68"/>
      <c r="C138" s="68"/>
    </row>
    <row r="139" spans="1:3" x14ac:dyDescent="0.25">
      <c r="A139" s="68"/>
      <c r="B139" s="68"/>
      <c r="C139" s="68"/>
    </row>
    <row r="140" spans="1:3" x14ac:dyDescent="0.25">
      <c r="A140" s="68"/>
      <c r="B140" s="68"/>
      <c r="C140" s="68"/>
    </row>
    <row r="141" spans="1:3" x14ac:dyDescent="0.25">
      <c r="A141" s="68"/>
      <c r="B141" s="68"/>
      <c r="C141" s="68"/>
    </row>
    <row r="142" spans="1:3" x14ac:dyDescent="0.25">
      <c r="A142" s="68"/>
      <c r="B142" s="68"/>
      <c r="C142" s="68"/>
    </row>
    <row r="143" spans="1:3" x14ac:dyDescent="0.25">
      <c r="A143" s="68"/>
      <c r="B143" s="68"/>
      <c r="C143" s="68"/>
    </row>
    <row r="144" spans="1:3" x14ac:dyDescent="0.25">
      <c r="A144" s="68"/>
      <c r="B144" s="68"/>
      <c r="C144" s="68"/>
    </row>
    <row r="145" spans="1:3" x14ac:dyDescent="0.25">
      <c r="A145" s="68"/>
      <c r="B145" s="68"/>
      <c r="C145" s="68"/>
    </row>
    <row r="146" spans="1:3" x14ac:dyDescent="0.25">
      <c r="A146" s="335"/>
      <c r="B146" s="68"/>
      <c r="C146" s="68"/>
    </row>
    <row r="147" spans="1:3" x14ac:dyDescent="0.25">
      <c r="A147" s="335"/>
      <c r="B147" s="68"/>
      <c r="C147" s="68"/>
    </row>
    <row r="148" spans="1:3" x14ac:dyDescent="0.25">
      <c r="A148" s="578"/>
      <c r="B148" s="68"/>
      <c r="C148" s="68"/>
    </row>
    <row r="149" spans="1:3" x14ac:dyDescent="0.25">
      <c r="A149" s="578"/>
      <c r="B149" s="68"/>
      <c r="C149" s="68"/>
    </row>
    <row r="150" spans="1:3" x14ac:dyDescent="0.25">
      <c r="A150" s="335"/>
      <c r="B150" s="68"/>
      <c r="C150" s="68"/>
    </row>
    <row r="151" spans="1:3" x14ac:dyDescent="0.25">
      <c r="A151" s="578"/>
      <c r="B151" s="68"/>
      <c r="C151" s="68"/>
    </row>
    <row r="152" spans="1:3" x14ac:dyDescent="0.25">
      <c r="A152" s="578"/>
      <c r="B152" s="68"/>
      <c r="C152" s="68"/>
    </row>
    <row r="153" spans="1:3" x14ac:dyDescent="0.25">
      <c r="A153" s="578"/>
      <c r="B153" s="68"/>
      <c r="C153" s="68"/>
    </row>
    <row r="154" spans="1:3" x14ac:dyDescent="0.25">
      <c r="A154" s="578"/>
      <c r="B154" s="68"/>
      <c r="C154" s="68"/>
    </row>
    <row r="155" spans="1:3" x14ac:dyDescent="0.25">
      <c r="A155" s="578"/>
      <c r="B155" s="68"/>
      <c r="C155" s="68"/>
    </row>
    <row r="156" spans="1:3" x14ac:dyDescent="0.25">
      <c r="A156" s="335"/>
      <c r="B156" s="68"/>
      <c r="C156" s="68"/>
    </row>
    <row r="157" spans="1:3" x14ac:dyDescent="0.25">
      <c r="A157" s="68"/>
      <c r="B157" s="68"/>
      <c r="C157" s="68"/>
    </row>
    <row r="158" spans="1:3" x14ac:dyDescent="0.25">
      <c r="A158" s="68"/>
      <c r="B158" s="68"/>
      <c r="C158" s="68"/>
    </row>
    <row r="159" spans="1:3" x14ac:dyDescent="0.25">
      <c r="A159" s="68"/>
      <c r="B159" s="68"/>
      <c r="C159" s="68"/>
    </row>
    <row r="160" spans="1:3" x14ac:dyDescent="0.25">
      <c r="A160" s="68"/>
      <c r="B160" s="68"/>
      <c r="C160" s="68"/>
    </row>
    <row r="161" spans="1:3" x14ac:dyDescent="0.25">
      <c r="A161" s="68"/>
      <c r="B161" s="68"/>
      <c r="C161" s="68"/>
    </row>
    <row r="162" spans="1:3" x14ac:dyDescent="0.25">
      <c r="A162" s="68"/>
      <c r="B162" s="68"/>
      <c r="C162" s="68"/>
    </row>
    <row r="163" spans="1:3" x14ac:dyDescent="0.25">
      <c r="A163" s="68"/>
      <c r="B163" s="68"/>
      <c r="C163" s="68"/>
    </row>
    <row r="164" spans="1:3" x14ac:dyDescent="0.25">
      <c r="A164" s="68"/>
      <c r="B164" s="68"/>
      <c r="C164" s="68"/>
    </row>
    <row r="165" spans="1:3" x14ac:dyDescent="0.25">
      <c r="A165" s="335"/>
      <c r="B165" s="68"/>
      <c r="C165" s="68"/>
    </row>
    <row r="166" spans="1:3" x14ac:dyDescent="0.25">
      <c r="A166" s="335"/>
      <c r="B166" s="68"/>
      <c r="C166" s="68"/>
    </row>
    <row r="167" spans="1:3" x14ac:dyDescent="0.25">
      <c r="A167" s="578"/>
      <c r="B167" s="68"/>
      <c r="C167" s="68"/>
    </row>
    <row r="168" spans="1:3" x14ac:dyDescent="0.25">
      <c r="A168" s="578"/>
      <c r="B168" s="68"/>
      <c r="C168" s="68"/>
    </row>
    <row r="169" spans="1:3" x14ac:dyDescent="0.25">
      <c r="A169" s="578"/>
      <c r="B169" s="68"/>
      <c r="C169" s="68"/>
    </row>
    <row r="170" spans="1:3" x14ac:dyDescent="0.25">
      <c r="A170" s="68"/>
      <c r="B170" s="68"/>
      <c r="C170" s="68"/>
    </row>
    <row r="171" spans="1:3" x14ac:dyDescent="0.25">
      <c r="A171" s="335"/>
      <c r="B171" s="68"/>
      <c r="C171" s="68"/>
    </row>
    <row r="172" spans="1:3" x14ac:dyDescent="0.25">
      <c r="A172" s="68"/>
      <c r="B172" s="68"/>
      <c r="C172" s="68"/>
    </row>
    <row r="173" spans="1:3" x14ac:dyDescent="0.25">
      <c r="A173" s="68"/>
      <c r="B173" s="68"/>
      <c r="C173" s="68"/>
    </row>
    <row r="174" spans="1:3" x14ac:dyDescent="0.25">
      <c r="A174" s="68"/>
      <c r="B174" s="68"/>
      <c r="C174" s="68"/>
    </row>
    <row r="175" spans="1:3" x14ac:dyDescent="0.25">
      <c r="A175" s="68"/>
      <c r="B175" s="68"/>
      <c r="C175" s="68"/>
    </row>
    <row r="176" spans="1:3" x14ac:dyDescent="0.25">
      <c r="A176" s="68"/>
      <c r="B176" s="68"/>
      <c r="C176" s="68"/>
    </row>
    <row r="177" spans="1:3" x14ac:dyDescent="0.25">
      <c r="A177" s="68"/>
      <c r="B177" s="68"/>
      <c r="C177" s="68"/>
    </row>
    <row r="178" spans="1:3" x14ac:dyDescent="0.25">
      <c r="A178" s="68"/>
      <c r="B178" s="68"/>
      <c r="C178" s="68"/>
    </row>
    <row r="179" spans="1:3" x14ac:dyDescent="0.25">
      <c r="A179" s="68"/>
      <c r="B179" s="68"/>
      <c r="C179" s="68"/>
    </row>
    <row r="180" spans="1:3" x14ac:dyDescent="0.25">
      <c r="A180" s="68"/>
      <c r="B180" s="68"/>
      <c r="C180" s="68"/>
    </row>
    <row r="181" spans="1:3" x14ac:dyDescent="0.25">
      <c r="A181" s="68"/>
      <c r="B181" s="68"/>
      <c r="C181" s="68"/>
    </row>
    <row r="182" spans="1:3" x14ac:dyDescent="0.25">
      <c r="A182" s="68"/>
      <c r="B182" s="68"/>
      <c r="C182" s="68"/>
    </row>
    <row r="183" spans="1:3" x14ac:dyDescent="0.25">
      <c r="A183" s="68"/>
      <c r="B183" s="68"/>
      <c r="C183" s="68"/>
    </row>
    <row r="184" spans="1:3" x14ac:dyDescent="0.25">
      <c r="A184" s="68"/>
      <c r="B184" s="68"/>
      <c r="C184" s="68"/>
    </row>
    <row r="185" spans="1:3" x14ac:dyDescent="0.25">
      <c r="A185" s="68"/>
      <c r="B185" s="68"/>
      <c r="C185" s="68"/>
    </row>
    <row r="186" spans="1:3" x14ac:dyDescent="0.25">
      <c r="A186" s="68"/>
      <c r="B186" s="68"/>
      <c r="C186" s="68"/>
    </row>
    <row r="187" spans="1:3" x14ac:dyDescent="0.25">
      <c r="A187" s="68"/>
      <c r="B187" s="68"/>
      <c r="C187" s="68"/>
    </row>
    <row r="188" spans="1:3" x14ac:dyDescent="0.25">
      <c r="A188" s="68"/>
      <c r="B188" s="68"/>
      <c r="C188" s="68"/>
    </row>
    <row r="189" spans="1:3" x14ac:dyDescent="0.25">
      <c r="A189" s="68"/>
      <c r="B189" s="68"/>
      <c r="C189" s="68"/>
    </row>
    <row r="190" spans="1:3" x14ac:dyDescent="0.25">
      <c r="A190" s="68"/>
      <c r="B190" s="68"/>
      <c r="C190" s="68"/>
    </row>
    <row r="191" spans="1:3" x14ac:dyDescent="0.25">
      <c r="A191" s="68"/>
      <c r="B191" s="68"/>
      <c r="C191" s="68"/>
    </row>
    <row r="192" spans="1:3" x14ac:dyDescent="0.25">
      <c r="A192" s="68"/>
      <c r="B192" s="68"/>
      <c r="C192" s="68"/>
    </row>
    <row r="193" spans="1:3" x14ac:dyDescent="0.25">
      <c r="A193" s="68"/>
      <c r="B193" s="68"/>
      <c r="C193" s="68"/>
    </row>
    <row r="194" spans="1:3" x14ac:dyDescent="0.25">
      <c r="A194" s="335"/>
      <c r="B194" s="68"/>
      <c r="C194" s="68"/>
    </row>
    <row r="195" spans="1:3" x14ac:dyDescent="0.25">
      <c r="A195" s="335"/>
      <c r="B195" s="68"/>
      <c r="C195" s="68"/>
    </row>
    <row r="196" spans="1:3" x14ac:dyDescent="0.25">
      <c r="A196" s="578"/>
      <c r="B196" s="68"/>
      <c r="C196" s="68"/>
    </row>
    <row r="197" spans="1:3" x14ac:dyDescent="0.25">
      <c r="A197" s="68"/>
      <c r="B197" s="68"/>
      <c r="C197" s="68"/>
    </row>
    <row r="198" spans="1:3" x14ac:dyDescent="0.25">
      <c r="A198" s="68"/>
      <c r="B198" s="68"/>
      <c r="C198" s="68"/>
    </row>
    <row r="199" spans="1:3" x14ac:dyDescent="0.25">
      <c r="A199" s="335"/>
      <c r="B199" s="68"/>
      <c r="C199" s="68"/>
    </row>
    <row r="200" spans="1:3" x14ac:dyDescent="0.25">
      <c r="A200" s="68"/>
      <c r="B200" s="68"/>
      <c r="C200" s="68"/>
    </row>
    <row r="201" spans="1:3" x14ac:dyDescent="0.25">
      <c r="A201" s="68"/>
      <c r="B201" s="68"/>
      <c r="C201" s="68"/>
    </row>
    <row r="202" spans="1:3" x14ac:dyDescent="0.25">
      <c r="A202" s="68"/>
      <c r="B202" s="68"/>
      <c r="C202" s="68"/>
    </row>
    <row r="203" spans="1:3" x14ac:dyDescent="0.25">
      <c r="A203" s="68"/>
      <c r="B203" s="68"/>
      <c r="C203" s="68"/>
    </row>
    <row r="204" spans="1:3" x14ac:dyDescent="0.25">
      <c r="A204" s="68"/>
      <c r="B204" s="68"/>
      <c r="C204" s="68"/>
    </row>
    <row r="205" spans="1:3" x14ac:dyDescent="0.25">
      <c r="A205" s="68"/>
      <c r="B205" s="68"/>
      <c r="C205" s="68"/>
    </row>
  </sheetData>
  <customSheetViews>
    <customSheetView guid="{AEFEB150-9213-45F5-A178-7AC71E46DB11}" topLeftCell="A4">
      <selection activeCell="B14" sqref="B14"/>
      <pageMargins left="0" right="0" top="0" bottom="0" header="0" footer="0"/>
      <pageSetup orientation="portrait" r:id="rId1"/>
    </customSheetView>
    <customSheetView guid="{AB763728-FC8E-40B1-8BAD-FF6772AD9A46}" topLeftCell="A4">
      <selection activeCell="A26" sqref="A26:A27"/>
      <pageMargins left="0" right="0" top="0" bottom="0" header="0" footer="0"/>
      <pageSetup orientation="portrait" r:id="rId2"/>
    </customSheetView>
    <customSheetView guid="{08B0A6E6-0C62-4331-9E9A-05DFF5B8DF5B}">
      <selection activeCell="C21" sqref="C21"/>
      <pageMargins left="0" right="0" top="0" bottom="0" header="0" footer="0"/>
      <pageSetup orientation="portrait" r:id="rId3"/>
    </customSheetView>
    <customSheetView guid="{70E2A0B1-0EA6-43AE-8715-395179465BE5}">
      <selection activeCell="A6" sqref="A6"/>
      <pageMargins left="0" right="0" top="0" bottom="0" header="0" footer="0"/>
      <pageSetup orientation="portrait" r:id="rId4"/>
    </customSheetView>
    <customSheetView guid="{34052DE1-5E82-4B7C-8FA6-8E533676FB0A}">
      <selection activeCell="C21" sqref="C21"/>
      <pageMargins left="0" right="0" top="0" bottom="0" header="0" footer="0"/>
      <pageSetup orientation="portrait" r:id="rId5"/>
    </customSheetView>
    <customSheetView guid="{A2518DB3-3A80-4035-9307-EC50A7C923F2}">
      <selection activeCell="C21" sqref="C21"/>
      <pageMargins left="0" right="0" top="0" bottom="0" header="0" footer="0"/>
      <pageSetup orientation="portrait" r:id="rId6"/>
    </customSheetView>
    <customSheetView guid="{E81D05A4-5B21-42D3-A8D3-906ABCABC0F4}">
      <selection activeCell="H28" sqref="H28"/>
      <pageMargins left="0" right="0" top="0" bottom="0" header="0" footer="0"/>
      <pageSetup orientation="portrait" r:id="rId7"/>
    </customSheetView>
    <customSheetView guid="{E44F5FE1-54FC-4AB3-84F9-7D65ACF2DDE7}">
      <selection activeCell="C21" sqref="C21"/>
      <pageMargins left="0" right="0" top="0" bottom="0" header="0" footer="0"/>
      <pageSetup orientation="portrait" r:id="rId8"/>
    </customSheetView>
    <customSheetView guid="{8F508F4D-4777-42BE-9707-8CB9355F7BDB}">
      <selection activeCell="C21" sqref="C21"/>
      <pageMargins left="0" right="0" top="0" bottom="0" header="0" footer="0"/>
      <pageSetup orientation="portrait" r:id="rId9"/>
    </customSheetView>
    <customSheetView guid="{F784130D-F647-4ABA-8943-C79CA5B0FDC4}">
      <selection activeCell="C21" sqref="C21"/>
      <pageMargins left="0" right="0" top="0" bottom="0" header="0" footer="0"/>
      <pageSetup orientation="portrait" r:id="rId10"/>
    </customSheetView>
    <customSheetView guid="{1E5198E1-BA46-4CE0-8628-4F695B0D7A3B}">
      <selection activeCell="C21" sqref="C21"/>
      <pageMargins left="0" right="0" top="0" bottom="0" header="0" footer="0"/>
      <pageSetup orientation="portrait" r:id="rId11"/>
    </customSheetView>
    <customSheetView guid="{455630F5-40FC-47DB-8AD4-712C20B8FB91}">
      <selection activeCell="C21" sqref="C21"/>
      <pageMargins left="0" right="0" top="0" bottom="0" header="0" footer="0"/>
      <pageSetup orientation="portrait" r:id="rId12"/>
    </customSheetView>
    <customSheetView guid="{9D4F0482-B164-4671-805A-E0D2D4DD4720}">
      <selection activeCell="C21" sqref="C21"/>
      <pageMargins left="0" right="0" top="0" bottom="0" header="0" footer="0"/>
      <pageSetup orientation="portrait" r:id="rId13"/>
    </customSheetView>
    <customSheetView guid="{567C3053-2D8E-4705-8DC7-18896C5303CA}" showPageBreaks="1">
      <selection activeCell="E29" sqref="E29"/>
      <pageMargins left="0" right="0" top="0" bottom="0" header="0" footer="0"/>
      <pageSetup orientation="portrait" r:id="rId14"/>
    </customSheetView>
    <customSheetView guid="{7A9890A5-7CC2-466F-AA52-39E8D428DC1C}">
      <selection activeCell="E29" sqref="E29"/>
      <pageMargins left="0" right="0" top="0" bottom="0" header="0" footer="0"/>
      <pageSetup orientation="portrait" r:id="rId15"/>
    </customSheetView>
    <customSheetView guid="{CBA65C9F-528B-4CA5-AFDD-C38CD40775BB}">
      <selection activeCell="C15" sqref="C15"/>
      <pageMargins left="0" right="0" top="0" bottom="0" header="0" footer="0"/>
      <pageSetup orientation="portrait" r:id="rId16"/>
    </customSheetView>
    <customSheetView guid="{78CA186D-B240-44D5-8A24-D241DE0B0FD9}">
      <selection activeCell="D2" sqref="D2"/>
      <pageMargins left="0" right="0" top="0" bottom="0" header="0" footer="0"/>
      <pageSetup orientation="portrait" r:id="rId17"/>
    </customSheetView>
    <customSheetView guid="{5102CD51-6323-4C0C-991F-AF8276ECBB13}">
      <selection activeCell="A2" sqref="A2"/>
      <pageMargins left="0.7" right="0.7" top="0.75" bottom="0.75" header="0.3" footer="0.3"/>
      <pageSetup orientation="portrait" r:id="rId18"/>
    </customSheetView>
    <customSheetView guid="{FF124C4D-20DF-4C1B-B072-A9ABB2F1106A}">
      <selection activeCell="A9" sqref="A9"/>
      <pageMargins left="0" right="0" top="0" bottom="0" header="0" footer="0"/>
      <pageSetup orientation="portrait" r:id="rId19"/>
    </customSheetView>
    <customSheetView guid="{50528D02-548E-47E0-94D7-D1E79CD3569C}">
      <selection activeCell="C21" sqref="C21"/>
      <pageMargins left="0" right="0" top="0" bottom="0" header="0" footer="0"/>
      <pageSetup orientation="portrait" r:id="rId20"/>
    </customSheetView>
  </customSheetViews>
  <pageMargins left="0" right="0" top="0" bottom="0" header="0" footer="0"/>
  <pageSetup orientation="portrait" r:id="rId2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C3"/>
  <sheetViews>
    <sheetView workbookViewId="0">
      <selection activeCell="A2" sqref="A2:XFD2"/>
    </sheetView>
  </sheetViews>
  <sheetFormatPr defaultRowHeight="12.75" x14ac:dyDescent="0.2"/>
  <sheetData>
    <row r="2" spans="1:3" x14ac:dyDescent="0.2">
      <c r="A2" t="s">
        <v>523</v>
      </c>
    </row>
    <row r="3" spans="1:3" x14ac:dyDescent="0.2">
      <c r="C3">
        <f>B3*0.7</f>
        <v>0</v>
      </c>
    </row>
  </sheetData>
  <customSheetViews>
    <customSheetView guid="{AEFEB150-9213-45F5-A178-7AC71E46DB11}">
      <selection activeCell="N29" sqref="N29"/>
      <pageMargins left="0.7" right="0.7" top="0.75" bottom="0.75" header="0.3" footer="0.3"/>
    </customSheetView>
    <customSheetView guid="{AB763728-FC8E-40B1-8BAD-FF6772AD9A46}">
      <selection activeCell="N29" sqref="N29"/>
      <pageMargins left="0.7" right="0.7" top="0.75" bottom="0.75" header="0.3" footer="0.3"/>
    </customSheetView>
    <customSheetView guid="{08B0A6E6-0C62-4331-9E9A-05DFF5B8DF5B}">
      <selection activeCell="N29" sqref="N29"/>
      <pageMargins left="0" right="0" top="0" bottom="0" header="0" footer="0"/>
    </customSheetView>
    <customSheetView guid="{70E2A0B1-0EA6-43AE-8715-395179465BE5}">
      <pageMargins left="0" right="0" top="0" bottom="0" header="0" footer="0"/>
    </customSheetView>
    <customSheetView guid="{78CA186D-B240-44D5-8A24-D241DE0B0FD9}">
      <selection activeCell="N29" sqref="N29"/>
      <pageMargins left="0" right="0" top="0" bottom="0" header="0" footer="0"/>
    </customSheetView>
    <customSheetView guid="{5102CD51-6323-4C0C-991F-AF8276ECBB13}">
      <selection activeCell="N29" sqref="N29"/>
      <pageMargins left="0.7" right="0.7" top="0.75" bottom="0.75" header="0.3" footer="0.3"/>
    </customSheetView>
    <customSheetView guid="{FF124C4D-20DF-4C1B-B072-A9ABB2F1106A}">
      <selection activeCell="N29" sqref="N29"/>
      <pageMargins left="0" right="0" top="0" bottom="0" header="0" footer="0"/>
    </customSheetView>
    <customSheetView guid="{50528D02-548E-47E0-94D7-D1E79CD3569C}">
      <selection activeCell="N29" sqref="N29"/>
      <pageMargins left="0" right="0" top="0" bottom="0" header="0" footer="0"/>
    </customSheetView>
  </customSheetView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G20"/>
  <sheetViews>
    <sheetView workbookViewId="0">
      <selection activeCell="F28" sqref="F28"/>
    </sheetView>
  </sheetViews>
  <sheetFormatPr defaultRowHeight="15" x14ac:dyDescent="0.25"/>
  <cols>
    <col min="1" max="16384" width="9.140625" style="66"/>
  </cols>
  <sheetData>
    <row r="2" spans="1:7" x14ac:dyDescent="0.25">
      <c r="A2" s="65"/>
    </row>
    <row r="3" spans="1:7" x14ac:dyDescent="0.25">
      <c r="A3" s="64"/>
    </row>
    <row r="4" spans="1:7" x14ac:dyDescent="0.25">
      <c r="A4" s="64"/>
    </row>
    <row r="5" spans="1:7" x14ac:dyDescent="0.25">
      <c r="A5" s="71"/>
    </row>
    <row r="6" spans="1:7" x14ac:dyDescent="0.25">
      <c r="A6" s="64"/>
    </row>
    <row r="7" spans="1:7" x14ac:dyDescent="0.25">
      <c r="C7" s="67"/>
      <c r="D7" s="67"/>
      <c r="E7" s="67"/>
      <c r="F7" s="67"/>
      <c r="G7" s="67"/>
    </row>
    <row r="8" spans="1:7" x14ac:dyDescent="0.25">
      <c r="A8" s="64"/>
    </row>
    <row r="9" spans="1:7" x14ac:dyDescent="0.25">
      <c r="A9" s="65"/>
    </row>
    <row r="10" spans="1:7" x14ac:dyDescent="0.25">
      <c r="A10" s="64"/>
    </row>
    <row r="11" spans="1:7" x14ac:dyDescent="0.25">
      <c r="A11" s="64"/>
    </row>
    <row r="13" spans="1:7" x14ac:dyDescent="0.25">
      <c r="A13" s="65"/>
    </row>
    <row r="15" spans="1:7" x14ac:dyDescent="0.25">
      <c r="A15" s="65"/>
    </row>
    <row r="18" spans="1:1" x14ac:dyDescent="0.25">
      <c r="A18" s="65"/>
    </row>
    <row r="19" spans="1:1" x14ac:dyDescent="0.25">
      <c r="A19" s="68"/>
    </row>
    <row r="20" spans="1:1" x14ac:dyDescent="0.25">
      <c r="A20" s="65"/>
    </row>
  </sheetData>
  <customSheetViews>
    <customSheetView guid="{AEFEB150-9213-45F5-A178-7AC71E46DB11}">
      <selection activeCell="F28" sqref="F28"/>
      <pageMargins left="0" right="0" top="0" bottom="0" header="0" footer="0"/>
      <pageSetup orientation="portrait" r:id="rId1"/>
    </customSheetView>
    <customSheetView guid="{AB763728-FC8E-40B1-8BAD-FF6772AD9A46}">
      <selection activeCell="F28" sqref="F28"/>
      <pageMargins left="0" right="0" top="0" bottom="0" header="0" footer="0"/>
      <pageSetup orientation="portrait" r:id="rId2"/>
    </customSheetView>
    <customSheetView guid="{08B0A6E6-0C62-4331-9E9A-05DFF5B8DF5B}">
      <selection activeCell="E20" sqref="E20"/>
      <pageMargins left="0" right="0" top="0" bottom="0" header="0" footer="0"/>
      <pageSetup orientation="portrait" r:id="rId3"/>
    </customSheetView>
    <customSheetView guid="{70E2A0B1-0EA6-43AE-8715-395179465BE5}">
      <selection activeCell="A3" sqref="A3"/>
      <pageMargins left="0" right="0" top="0" bottom="0" header="0" footer="0"/>
      <pageSetup orientation="portrait" r:id="rId4"/>
    </customSheetView>
    <customSheetView guid="{34052DE1-5E82-4B7C-8FA6-8E533676FB0A}">
      <selection activeCell="J17" sqref="J17"/>
      <pageMargins left="0" right="0" top="0" bottom="0" header="0" footer="0"/>
      <pageSetup orientation="portrait" r:id="rId5"/>
    </customSheetView>
    <customSheetView guid="{A2518DB3-3A80-4035-9307-EC50A7C923F2}">
      <selection activeCell="E20" sqref="E20"/>
      <pageMargins left="0" right="0" top="0" bottom="0" header="0" footer="0"/>
      <pageSetup orientation="portrait" r:id="rId6"/>
    </customSheetView>
    <customSheetView guid="{E81D05A4-5B21-42D3-A8D3-906ABCABC0F4}">
      <selection activeCell="E20" sqref="E20"/>
      <pageMargins left="0" right="0" top="0" bottom="0" header="0" footer="0"/>
      <pageSetup orientation="portrait" r:id="rId7"/>
    </customSheetView>
    <customSheetView guid="{455630F5-40FC-47DB-8AD4-712C20B8FB91}">
      <selection activeCell="E20" sqref="E20"/>
      <pageMargins left="0" right="0" top="0" bottom="0" header="0" footer="0"/>
      <pageSetup orientation="portrait" r:id="rId8"/>
    </customSheetView>
    <customSheetView guid="{9D4F0482-B164-4671-805A-E0D2D4DD4720}">
      <selection activeCell="E20" sqref="E20"/>
      <pageMargins left="0" right="0" top="0" bottom="0" header="0" footer="0"/>
      <pageSetup orientation="portrait" r:id="rId9"/>
    </customSheetView>
    <customSheetView guid="{567C3053-2D8E-4705-8DC7-18896C5303CA}" topLeftCell="A16">
      <selection activeCell="E20" sqref="E20"/>
      <pageMargins left="0" right="0" top="0" bottom="0" header="0" footer="0"/>
      <pageSetup orientation="portrait" r:id="rId10"/>
    </customSheetView>
    <customSheetView guid="{7A9890A5-7CC2-466F-AA52-39E8D428DC1C}" topLeftCell="A16">
      <selection activeCell="E20" sqref="E20"/>
      <pageMargins left="0" right="0" top="0" bottom="0" header="0" footer="0"/>
      <pageSetup orientation="portrait" r:id="rId11"/>
    </customSheetView>
    <customSheetView guid="{CBA65C9F-528B-4CA5-AFDD-C38CD40775BB}">
      <selection activeCell="A4" sqref="A4"/>
      <pageMargins left="0" right="0" top="0" bottom="0" header="0" footer="0"/>
      <pageSetup orientation="portrait" r:id="rId12"/>
    </customSheetView>
    <customSheetView guid="{78CA186D-B240-44D5-8A24-D241DE0B0FD9}">
      <selection activeCell="O27" sqref="O27"/>
      <pageMargins left="0" right="0" top="0" bottom="0" header="0" footer="0"/>
      <pageSetup orientation="portrait" r:id="rId13"/>
    </customSheetView>
    <customSheetView guid="{5102CD51-6323-4C0C-991F-AF8276ECBB13}">
      <selection activeCell="O27" sqref="O27"/>
      <pageMargins left="0.7" right="0.7" top="0.75" bottom="0.75" header="0.3" footer="0.3"/>
      <pageSetup orientation="portrait" r:id="rId14"/>
    </customSheetView>
    <customSheetView guid="{FF124C4D-20DF-4C1B-B072-A9ABB2F1106A}">
      <selection activeCell="E20" sqref="E20"/>
      <pageMargins left="0" right="0" top="0" bottom="0" header="0" footer="0"/>
      <pageSetup orientation="portrait" r:id="rId15"/>
    </customSheetView>
    <customSheetView guid="{50528D02-548E-47E0-94D7-D1E79CD3569C}">
      <selection activeCell="E20" sqref="E20"/>
      <pageMargins left="0" right="0" top="0" bottom="0" header="0" footer="0"/>
      <pageSetup orientation="portrait" r:id="rId16"/>
    </customSheetView>
  </customSheetViews>
  <pageMargins left="0" right="0" top="0" bottom="0" header="0" footer="0"/>
  <pageSetup orientation="portrait" r:id="rId17"/>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SharedWithUsers xmlns="489b5bc0-b988-4f09-8b9e-2b586e8700c8">
      <UserInfo>
        <DisplayName>Jasmin Griffin</DisplayName>
        <AccountId>34</AccountId>
        <AccountType/>
      </UserInfo>
    </SharedWithUser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F59EF06B1DC57E45A2F9F05B521FFA35" ma:contentTypeVersion="3" ma:contentTypeDescription="Create a new document." ma:contentTypeScope="" ma:versionID="21efadfac3cbc2c8e3c8d7fb217b96c8">
  <xsd:schema xmlns:xsd="http://www.w3.org/2001/XMLSchema" xmlns:xs="http://www.w3.org/2001/XMLSchema" xmlns:p="http://schemas.microsoft.com/office/2006/metadata/properties" xmlns:ns2="489b5bc0-b988-4f09-8b9e-2b586e8700c8" targetNamespace="http://schemas.microsoft.com/office/2006/metadata/properties" ma:root="true" ma:fieldsID="3e42e941f6981468680aeb8eabf1018d" ns2:_="">
    <xsd:import namespace="489b5bc0-b988-4f09-8b9e-2b586e8700c8"/>
    <xsd:element name="properties">
      <xsd:complexType>
        <xsd:sequence>
          <xsd:element name="documentManagement">
            <xsd:complexType>
              <xsd:all>
                <xsd:element ref="ns2:SharedWithUsers" minOccurs="0"/>
                <xsd:element ref="ns2:SharingHintHash" minOccurs="0"/>
                <xsd:element ref="ns2: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89b5bc0-b988-4f09-8b9e-2b586e8700c8"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ingHintHash" ma:index="9" nillable="true" ma:displayName="Sharing Hint Hash" ma:internalName="SharingHintHash" ma:readOnly="true">
      <xsd:simpleType>
        <xsd:restriction base="dms:Text"/>
      </xsd:simpleType>
    </xsd:element>
    <xsd:element name="SharedWithDetails" ma:index="1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LongProperties xmlns="http://schemas.microsoft.com/office/2006/metadata/longProperties"/>
</file>

<file path=customXml/itemProps1.xml><?xml version="1.0" encoding="utf-8"?>
<ds:datastoreItem xmlns:ds="http://schemas.openxmlformats.org/officeDocument/2006/customXml" ds:itemID="{2CE91572-08B3-450C-A8AA-A198B2187460}">
  <ds:schemaRefs>
    <ds:schemaRef ds:uri="http://schemas.microsoft.com/sharepoint/v3/contenttype/forms"/>
  </ds:schemaRefs>
</ds:datastoreItem>
</file>

<file path=customXml/itemProps2.xml><?xml version="1.0" encoding="utf-8"?>
<ds:datastoreItem xmlns:ds="http://schemas.openxmlformats.org/officeDocument/2006/customXml" ds:itemID="{7F3668CB-95D1-4326-878B-3AAA2DC52E88}">
  <ds:schemaRefs>
    <ds:schemaRef ds:uri="http://schemas.openxmlformats.org/package/2006/metadata/core-properties"/>
    <ds:schemaRef ds:uri="http://www.w3.org/XML/1998/namespace"/>
    <ds:schemaRef ds:uri="http://schemas.microsoft.com/office/2006/documentManagement/types"/>
    <ds:schemaRef ds:uri="http://purl.org/dc/dcmitype/"/>
    <ds:schemaRef ds:uri="http://schemas.microsoft.com/office/2006/metadata/properties"/>
    <ds:schemaRef ds:uri="http://purl.org/dc/elements/1.1/"/>
    <ds:schemaRef ds:uri="http://schemas.microsoft.com/office/infopath/2007/PartnerControls"/>
    <ds:schemaRef ds:uri="489b5bc0-b988-4f09-8b9e-2b586e8700c8"/>
    <ds:schemaRef ds:uri="http://purl.org/dc/terms/"/>
  </ds:schemaRefs>
</ds:datastoreItem>
</file>

<file path=customXml/itemProps3.xml><?xml version="1.0" encoding="utf-8"?>
<ds:datastoreItem xmlns:ds="http://schemas.openxmlformats.org/officeDocument/2006/customXml" ds:itemID="{2D236F5C-DAEF-450C-863E-8A2DB6346C1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89b5bc0-b988-4f09-8b9e-2b586e8700c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E02A2336-2BA9-45B0-B88F-507ED6A3A76B}">
  <ds:schemaRefs>
    <ds:schemaRef ds:uri="http://schemas.microsoft.com/office/2006/metadata/long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13</vt:i4>
      </vt:variant>
    </vt:vector>
  </HeadingPairs>
  <TitlesOfParts>
    <vt:vector size="13" baseType="lpstr">
      <vt:lpstr>Guide</vt:lpstr>
      <vt:lpstr>FY2016 by Approp Title</vt:lpstr>
      <vt:lpstr>FY2016 By Approp Title-Adj</vt:lpstr>
      <vt:lpstr>FY 2016 by Agency</vt:lpstr>
      <vt:lpstr>FY 2016 by Agency-Adj</vt:lpstr>
      <vt:lpstr>Inflator</vt:lpstr>
      <vt:lpstr>FY 16 Budget Shifts</vt:lpstr>
      <vt:lpstr>Sheet1</vt:lpstr>
      <vt:lpstr>Sheet 2</vt:lpstr>
      <vt:lpstr>Sheet 4</vt:lpstr>
      <vt:lpstr>Sheet 5</vt:lpstr>
      <vt:lpstr>Sheet 6</vt:lpstr>
      <vt:lpstr>Sheet 7</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Name</dc:creator>
  <cp:keywords/>
  <dc:description/>
  <cp:lastModifiedBy>Ed Lazere</cp:lastModifiedBy>
  <cp:revision/>
  <dcterms:created xsi:type="dcterms:W3CDTF">2005-02-15T20:21:00Z</dcterms:created>
  <dcterms:modified xsi:type="dcterms:W3CDTF">2015-04-03T19:13:20Z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1281823858</vt:i4>
  </property>
  <property fmtid="{D5CDD505-2E9C-101B-9397-08002B2CF9AE}" pid="3" name="_EmailSubject">
    <vt:lpwstr/>
  </property>
  <property fmtid="{D5CDD505-2E9C-101B-9397-08002B2CF9AE}" pid="4" name="_AuthorEmail">
    <vt:lpwstr>rodgers@dcfpi.org</vt:lpwstr>
  </property>
  <property fmtid="{D5CDD505-2E9C-101B-9397-08002B2CF9AE}" pid="5" name="_AuthorEmailDisplayName">
    <vt:lpwstr>Angie Rodgers</vt:lpwstr>
  </property>
  <property fmtid="{D5CDD505-2E9C-101B-9397-08002B2CF9AE}" pid="6" name="_ReviewingToolsShownOnce">
    <vt:lpwstr/>
  </property>
  <property fmtid="{D5CDD505-2E9C-101B-9397-08002B2CF9AE}" pid="7" name="display_urn:schemas-microsoft-com:office:office#SharedWithUsers">
    <vt:lpwstr>Jasmin Griffin</vt:lpwstr>
  </property>
  <property fmtid="{D5CDD505-2E9C-101B-9397-08002B2CF9AE}" pid="8" name="SharedWithUsers">
    <vt:lpwstr>34;#Jasmin Griffin</vt:lpwstr>
  </property>
  <property fmtid="{D5CDD505-2E9C-101B-9397-08002B2CF9AE}" pid="9" name="ContentTypeId">
    <vt:lpwstr>0x010100F59EF06B1DC57E45A2F9F05B521FFA35</vt:lpwstr>
  </property>
</Properties>
</file>